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5480" windowHeight="8640"/>
  </bookViews>
  <sheets>
    <sheet name="Sheet1" sheetId="1" r:id="rId1"/>
    <sheet name="Нэгтгэл" sheetId="4" r:id="rId2"/>
  </sheets>
  <definedNames>
    <definedName name="_xlnm.Print_Area" localSheetId="0">Sheet1!$A$1:$RN$91</definedName>
    <definedName name="_xlnm.Print_Area" localSheetId="1">Нэгтгэл!$A$1:$D$94</definedName>
  </definedNames>
  <calcPr calcId="145621"/>
</workbook>
</file>

<file path=xl/calcChain.xml><?xml version="1.0" encoding="utf-8"?>
<calcChain xmlns="http://schemas.openxmlformats.org/spreadsheetml/2006/main">
  <c r="E11" i="1" l="1"/>
  <c r="F11" i="1"/>
  <c r="K11" i="1"/>
  <c r="L11" i="1"/>
  <c r="N11" i="1"/>
  <c r="O11" i="1"/>
  <c r="S11" i="1"/>
  <c r="U11" i="1"/>
  <c r="V11" i="1"/>
  <c r="W11" i="1"/>
  <c r="X11" i="1"/>
  <c r="Y11" i="1"/>
  <c r="AA11" i="1"/>
  <c r="AB11" i="1"/>
  <c r="AD11" i="1"/>
  <c r="AF11" i="1"/>
  <c r="AG11" i="1"/>
  <c r="AH11" i="1"/>
  <c r="AI11" i="1"/>
  <c r="AL11" i="1"/>
  <c r="AN11" i="1"/>
  <c r="AO11" i="1"/>
  <c r="AR11" i="1"/>
  <c r="AU11" i="1"/>
  <c r="AV11" i="1"/>
  <c r="AW11" i="1"/>
  <c r="AY11" i="1"/>
  <c r="AZ11" i="1"/>
  <c r="BA11" i="1"/>
  <c r="BB11" i="1"/>
  <c r="BF11" i="1"/>
  <c r="BG11" i="1"/>
  <c r="BH11" i="1"/>
  <c r="BI11" i="1"/>
  <c r="BJ11" i="1"/>
  <c r="AE13" i="1"/>
  <c r="AK13" i="1"/>
  <c r="AQ13" i="1"/>
  <c r="H14" i="1"/>
  <c r="H11" i="1" s="1"/>
  <c r="J14" i="1"/>
  <c r="J11" i="1" s="1"/>
  <c r="P14" i="1"/>
  <c r="P11" i="1" s="1"/>
  <c r="R14" i="1"/>
  <c r="R11" i="1" s="1"/>
  <c r="AC14" i="1"/>
  <c r="AC11" i="1" s="1"/>
  <c r="AE14" i="1"/>
  <c r="AK14" i="1"/>
  <c r="AQ14" i="1"/>
  <c r="AS14" i="1"/>
  <c r="AS11" i="1" s="1"/>
  <c r="AT14" i="1"/>
  <c r="AT11" i="1" s="1"/>
  <c r="BD14" i="1"/>
  <c r="BD11" i="1" s="1"/>
  <c r="BE14" i="1"/>
  <c r="BE11" i="1" s="1"/>
  <c r="AE15" i="1"/>
  <c r="D15" i="1" s="1"/>
  <c r="AE16" i="1"/>
  <c r="D16" i="1" s="1"/>
  <c r="G17" i="1"/>
  <c r="G11" i="1" s="1"/>
  <c r="I17" i="1"/>
  <c r="I11" i="1" s="1"/>
  <c r="AE17" i="1"/>
  <c r="AJ17" i="1"/>
  <c r="AP17" i="1"/>
  <c r="AP11" i="1" s="1"/>
  <c r="BC17" i="1"/>
  <c r="BC11" i="1" s="1"/>
  <c r="M18" i="1"/>
  <c r="Q18" i="1"/>
  <c r="Q11" i="1" s="1"/>
  <c r="T18" i="1"/>
  <c r="T11" i="1" s="1"/>
  <c r="Z18" i="1"/>
  <c r="Z11" i="1" s="1"/>
  <c r="AE18" i="1"/>
  <c r="AK18" i="1"/>
  <c r="AM18" i="1"/>
  <c r="AM11" i="1" s="1"/>
  <c r="AX18" i="1"/>
  <c r="AX11" i="1" s="1"/>
  <c r="D19" i="1"/>
  <c r="D20" i="1"/>
  <c r="D21" i="1"/>
  <c r="D22" i="1"/>
  <c r="D23" i="1"/>
  <c r="AJ24" i="1"/>
  <c r="D24" i="1" s="1"/>
  <c r="E25" i="1"/>
  <c r="F25" i="1"/>
  <c r="G25" i="1"/>
  <c r="H25" i="1"/>
  <c r="I25" i="1"/>
  <c r="J25" i="1"/>
  <c r="K25" i="1"/>
  <c r="L25" i="1"/>
  <c r="M25" i="1"/>
  <c r="N25" i="1"/>
  <c r="O25" i="1"/>
  <c r="P25" i="1"/>
  <c r="Q25" i="1"/>
  <c r="S25" i="1"/>
  <c r="T25" i="1"/>
  <c r="U25" i="1"/>
  <c r="V25" i="1"/>
  <c r="W25" i="1"/>
  <c r="Y25" i="1"/>
  <c r="Z25" i="1"/>
  <c r="AA25" i="1"/>
  <c r="AB25" i="1"/>
  <c r="AD25" i="1"/>
  <c r="AI25" i="1"/>
  <c r="AL25" i="1"/>
  <c r="AN25" i="1"/>
  <c r="AO25" i="1"/>
  <c r="AP25" i="1"/>
  <c r="AR25" i="1"/>
  <c r="AS25" i="1"/>
  <c r="AU25" i="1"/>
  <c r="AV25" i="1"/>
  <c r="AX25" i="1"/>
  <c r="AZ25" i="1"/>
  <c r="BF25" i="1"/>
  <c r="BG25" i="1"/>
  <c r="BH25" i="1"/>
  <c r="BI25" i="1"/>
  <c r="BJ25" i="1"/>
  <c r="R27" i="1"/>
  <c r="R25" i="1" s="1"/>
  <c r="X27" i="1"/>
  <c r="X25" i="1" s="1"/>
  <c r="AC27" i="1"/>
  <c r="AC25" i="1" s="1"/>
  <c r="AE27" i="1"/>
  <c r="AE25" i="1" s="1"/>
  <c r="AF27" i="1"/>
  <c r="AF25" i="1" s="1"/>
  <c r="AG27" i="1"/>
  <c r="AG25" i="1" s="1"/>
  <c r="AH27" i="1"/>
  <c r="AH25" i="1" s="1"/>
  <c r="AJ27" i="1"/>
  <c r="AJ25" i="1" s="1"/>
  <c r="AK27" i="1"/>
  <c r="AK25" i="1" s="1"/>
  <c r="AM27" i="1"/>
  <c r="AM25" i="1" s="1"/>
  <c r="AQ27" i="1"/>
  <c r="AQ25" i="1" s="1"/>
  <c r="AT27" i="1"/>
  <c r="AT25" i="1" s="1"/>
  <c r="AY27" i="1"/>
  <c r="AY25" i="1" s="1"/>
  <c r="BA27" i="1"/>
  <c r="BA25" i="1" s="1"/>
  <c r="BB27" i="1"/>
  <c r="BB25" i="1" s="1"/>
  <c r="BC27" i="1"/>
  <c r="BC25" i="1" s="1"/>
  <c r="BD27" i="1"/>
  <c r="BD25" i="1" s="1"/>
  <c r="BE27" i="1"/>
  <c r="BE25" i="1" s="1"/>
  <c r="D28" i="1"/>
  <c r="D29" i="1"/>
  <c r="D30" i="1"/>
  <c r="D31" i="1"/>
  <c r="D32" i="1"/>
  <c r="D33" i="1"/>
  <c r="D34" i="1"/>
  <c r="E35" i="1"/>
  <c r="F35" i="1"/>
  <c r="G35" i="1"/>
  <c r="H35" i="1"/>
  <c r="I35" i="1"/>
  <c r="J35" i="1"/>
  <c r="K35" i="1"/>
  <c r="L35" i="1"/>
  <c r="M35" i="1"/>
  <c r="N35" i="1"/>
  <c r="O35" i="1"/>
  <c r="P35" i="1"/>
  <c r="Q35" i="1"/>
  <c r="R35" i="1"/>
  <c r="S35" i="1"/>
  <c r="T35" i="1"/>
  <c r="U35" i="1"/>
  <c r="V35" i="1"/>
  <c r="W35" i="1"/>
  <c r="X35" i="1"/>
  <c r="Y35" i="1"/>
  <c r="Z35" i="1"/>
  <c r="AA35" i="1"/>
  <c r="AB35" i="1"/>
  <c r="AC35" i="1"/>
  <c r="AD35" i="1"/>
  <c r="AF35" i="1"/>
  <c r="AG35" i="1"/>
  <c r="AH35" i="1"/>
  <c r="AI35" i="1"/>
  <c r="AJ35" i="1"/>
  <c r="AL35" i="1"/>
  <c r="AM35" i="1"/>
  <c r="AN35" i="1"/>
  <c r="AO35" i="1"/>
  <c r="AP35" i="1"/>
  <c r="AR35" i="1"/>
  <c r="AS35" i="1"/>
  <c r="AU35" i="1"/>
  <c r="AV35" i="1"/>
  <c r="AW35" i="1"/>
  <c r="AX35" i="1"/>
  <c r="AY35" i="1"/>
  <c r="AZ35" i="1"/>
  <c r="BA35" i="1"/>
  <c r="BB35" i="1"/>
  <c r="BC35" i="1"/>
  <c r="BD35" i="1"/>
  <c r="BE35" i="1"/>
  <c r="BF35" i="1"/>
  <c r="BG35" i="1"/>
  <c r="BH35" i="1"/>
  <c r="BI35" i="1"/>
  <c r="BJ35" i="1"/>
  <c r="AE36" i="1"/>
  <c r="AE35" i="1" s="1"/>
  <c r="AK36" i="1"/>
  <c r="AK35" i="1" s="1"/>
  <c r="AQ36" i="1"/>
  <c r="AQ35" i="1" s="1"/>
  <c r="AT36" i="1"/>
  <c r="AT35" i="1" s="1"/>
  <c r="D37" i="1"/>
  <c r="D38" i="1"/>
  <c r="D39"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BE40" i="1"/>
  <c r="BF40" i="1"/>
  <c r="BG40" i="1"/>
  <c r="BH40" i="1"/>
  <c r="BI40" i="1"/>
  <c r="BJ40" i="1"/>
  <c r="D41" i="1"/>
  <c r="D40" i="1" s="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AY42" i="1"/>
  <c r="AZ42" i="1"/>
  <c r="BA42" i="1"/>
  <c r="BB42" i="1"/>
  <c r="BC42" i="1"/>
  <c r="BD42" i="1"/>
  <c r="BE42" i="1"/>
  <c r="BF42" i="1"/>
  <c r="BG42" i="1"/>
  <c r="BH42" i="1"/>
  <c r="BI42" i="1"/>
  <c r="BJ42" i="1"/>
  <c r="D43" i="1"/>
  <c r="D44" i="1"/>
  <c r="E45" i="1"/>
  <c r="F45" i="1"/>
  <c r="G45" i="1"/>
  <c r="H45" i="1"/>
  <c r="I45" i="1"/>
  <c r="J45" i="1"/>
  <c r="K45" i="1"/>
  <c r="L45" i="1"/>
  <c r="M45" i="1"/>
  <c r="N45" i="1"/>
  <c r="O45" i="1"/>
  <c r="P45" i="1"/>
  <c r="Q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D45" i="1"/>
  <c r="BE45" i="1"/>
  <c r="BF45" i="1"/>
  <c r="BG45" i="1"/>
  <c r="BH45" i="1"/>
  <c r="BI45" i="1"/>
  <c r="BJ45" i="1"/>
  <c r="R46" i="1"/>
  <c r="BC46" i="1"/>
  <c r="BC45" i="1" s="1"/>
  <c r="E48" i="1"/>
  <c r="F48" i="1"/>
  <c r="G48" i="1"/>
  <c r="H48" i="1"/>
  <c r="I48" i="1"/>
  <c r="J48" i="1"/>
  <c r="K48" i="1"/>
  <c r="L48" i="1"/>
  <c r="M48" i="1"/>
  <c r="N48" i="1"/>
  <c r="O48" i="1"/>
  <c r="Q48" i="1"/>
  <c r="R48" i="1"/>
  <c r="S48" i="1"/>
  <c r="T48" i="1"/>
  <c r="U48" i="1"/>
  <c r="V48" i="1"/>
  <c r="W48" i="1"/>
  <c r="Y48" i="1"/>
  <c r="Z48" i="1"/>
  <c r="AA48" i="1"/>
  <c r="AB48" i="1"/>
  <c r="AC48" i="1"/>
  <c r="AD48" i="1"/>
  <c r="AE48" i="1"/>
  <c r="AF48" i="1"/>
  <c r="AG48" i="1"/>
  <c r="AH48" i="1"/>
  <c r="AI48" i="1"/>
  <c r="AK48" i="1"/>
  <c r="AL48" i="1"/>
  <c r="AM48" i="1"/>
  <c r="AN48" i="1"/>
  <c r="AO48" i="1"/>
  <c r="AQ48" i="1"/>
  <c r="AR48" i="1"/>
  <c r="AS48" i="1"/>
  <c r="AT48" i="1"/>
  <c r="AU48" i="1"/>
  <c r="AV48" i="1"/>
  <c r="AW48" i="1"/>
  <c r="AX48" i="1"/>
  <c r="AZ48" i="1"/>
  <c r="BA48" i="1"/>
  <c r="BB48" i="1"/>
  <c r="BC48" i="1"/>
  <c r="BD48" i="1"/>
  <c r="BE48" i="1"/>
  <c r="BF48" i="1"/>
  <c r="BG48" i="1"/>
  <c r="BH48" i="1"/>
  <c r="BI48" i="1"/>
  <c r="BJ48" i="1"/>
  <c r="P49" i="1"/>
  <c r="AJ49" i="1"/>
  <c r="AP49" i="1"/>
  <c r="P50" i="1"/>
  <c r="X50" i="1"/>
  <c r="X48" i="1" s="1"/>
  <c r="AJ50" i="1"/>
  <c r="AP50" i="1"/>
  <c r="AY50" i="1"/>
  <c r="AY48" i="1" s="1"/>
  <c r="AY47" i="1" s="1"/>
  <c r="E52" i="1"/>
  <c r="F52" i="1"/>
  <c r="G52" i="1"/>
  <c r="H52" i="1"/>
  <c r="H47" i="1" s="1"/>
  <c r="I52" i="1"/>
  <c r="J52" i="1"/>
  <c r="K52" i="1"/>
  <c r="M52" i="1"/>
  <c r="N52" i="1"/>
  <c r="N47" i="1" s="1"/>
  <c r="O52" i="1"/>
  <c r="P52" i="1"/>
  <c r="Q52" i="1"/>
  <c r="R52" i="1"/>
  <c r="S52" i="1"/>
  <c r="T52" i="1"/>
  <c r="U52" i="1"/>
  <c r="V52" i="1"/>
  <c r="W52" i="1"/>
  <c r="Y52" i="1"/>
  <c r="Z52" i="1"/>
  <c r="Z47" i="1" s="1"/>
  <c r="AA52" i="1"/>
  <c r="AB52" i="1"/>
  <c r="AC52" i="1"/>
  <c r="AD52" i="1"/>
  <c r="AD47" i="1" s="1"/>
  <c r="AE52" i="1"/>
  <c r="AF52" i="1"/>
  <c r="AG52" i="1"/>
  <c r="AH52" i="1"/>
  <c r="AH47" i="1" s="1"/>
  <c r="AI52" i="1"/>
  <c r="AK52" i="1"/>
  <c r="AL52" i="1"/>
  <c r="AM52" i="1"/>
  <c r="AN52" i="1"/>
  <c r="AO52" i="1"/>
  <c r="AQ52" i="1"/>
  <c r="AR52" i="1"/>
  <c r="AR47" i="1" s="1"/>
  <c r="AS52" i="1"/>
  <c r="AT52" i="1"/>
  <c r="AU52" i="1"/>
  <c r="AV52" i="1"/>
  <c r="AV47" i="1" s="1"/>
  <c r="AW52" i="1"/>
  <c r="AX52" i="1"/>
  <c r="AY52" i="1"/>
  <c r="AZ52" i="1"/>
  <c r="AZ47" i="1" s="1"/>
  <c r="BA52" i="1"/>
  <c r="BB52" i="1"/>
  <c r="BC52" i="1"/>
  <c r="BD52" i="1"/>
  <c r="BD47" i="1" s="1"/>
  <c r="BE52" i="1"/>
  <c r="BF52" i="1"/>
  <c r="BG52" i="1"/>
  <c r="BH52" i="1"/>
  <c r="BH47" i="1" s="1"/>
  <c r="BI52" i="1"/>
  <c r="BJ52" i="1"/>
  <c r="L53" i="1"/>
  <c r="L52" i="1" s="1"/>
  <c r="L47" i="1" s="1"/>
  <c r="X53" i="1"/>
  <c r="AJ53" i="1"/>
  <c r="AJ52" i="1" s="1"/>
  <c r="AP53" i="1"/>
  <c r="AP52" i="1" s="1"/>
  <c r="X54" i="1"/>
  <c r="D54" i="1" s="1"/>
  <c r="D55" i="1"/>
  <c r="X56" i="1"/>
  <c r="D56" i="1" s="1"/>
  <c r="D57" i="1"/>
  <c r="D58" i="1"/>
  <c r="D59" i="1"/>
  <c r="D61" i="1"/>
  <c r="D62" i="1"/>
  <c r="D64" i="1"/>
  <c r="D63" i="1" s="1"/>
  <c r="E68" i="1"/>
  <c r="G68" i="1"/>
  <c r="H68" i="1"/>
  <c r="I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L68" i="1"/>
  <c r="AM68" i="1"/>
  <c r="AN68" i="1"/>
  <c r="AO68" i="1"/>
  <c r="AP68" i="1"/>
  <c r="AQ68" i="1"/>
  <c r="AR68" i="1"/>
  <c r="AS68" i="1"/>
  <c r="AU68" i="1"/>
  <c r="AV68" i="1"/>
  <c r="AW68" i="1"/>
  <c r="AX68" i="1"/>
  <c r="AY68" i="1"/>
  <c r="AZ68" i="1"/>
  <c r="BA68" i="1"/>
  <c r="BB68" i="1"/>
  <c r="BC68" i="1"/>
  <c r="BD68" i="1"/>
  <c r="BE68" i="1"/>
  <c r="BG68" i="1"/>
  <c r="BH68" i="1"/>
  <c r="BI68" i="1"/>
  <c r="BJ68" i="1"/>
  <c r="J69" i="1"/>
  <c r="J68" i="1" s="1"/>
  <c r="AK69" i="1"/>
  <c r="AK68" i="1" s="1"/>
  <c r="AT69" i="1"/>
  <c r="AT68" i="1" s="1"/>
  <c r="E70" i="1"/>
  <c r="F70" i="1"/>
  <c r="F69" i="1" s="1"/>
  <c r="G70" i="1"/>
  <c r="H70" i="1"/>
  <c r="AH70" i="1"/>
  <c r="AH67" i="1" s="1"/>
  <c r="AV70" i="1"/>
  <c r="AV67" i="1" s="1"/>
  <c r="AW70" i="1"/>
  <c r="AX70" i="1"/>
  <c r="AY70" i="1"/>
  <c r="BE70" i="1"/>
  <c r="BF70" i="1"/>
  <c r="BF69" i="1" s="1"/>
  <c r="BF68" i="1" s="1"/>
  <c r="BF67" i="1" s="1"/>
  <c r="D71" i="1"/>
  <c r="D72" i="1"/>
  <c r="D73" i="1"/>
  <c r="D74" i="1"/>
  <c r="D76" i="1"/>
  <c r="I77" i="1"/>
  <c r="I70" i="1" s="1"/>
  <c r="J77" i="1"/>
  <c r="J70" i="1" s="1"/>
  <c r="K77" i="1"/>
  <c r="K70" i="1" s="1"/>
  <c r="L77" i="1"/>
  <c r="L70" i="1" s="1"/>
  <c r="M77" i="1"/>
  <c r="M70" i="1" s="1"/>
  <c r="N77" i="1"/>
  <c r="N70" i="1" s="1"/>
  <c r="N67" i="1" s="1"/>
  <c r="O77" i="1"/>
  <c r="O70" i="1" s="1"/>
  <c r="P77" i="1"/>
  <c r="P70" i="1" s="1"/>
  <c r="Q77" i="1"/>
  <c r="Q70" i="1" s="1"/>
  <c r="R77" i="1"/>
  <c r="R70" i="1" s="1"/>
  <c r="R67" i="1" s="1"/>
  <c r="S77" i="1"/>
  <c r="S70" i="1" s="1"/>
  <c r="T77" i="1"/>
  <c r="T70" i="1" s="1"/>
  <c r="U77" i="1"/>
  <c r="U70" i="1" s="1"/>
  <c r="V77" i="1"/>
  <c r="V70" i="1" s="1"/>
  <c r="V67" i="1" s="1"/>
  <c r="W77" i="1"/>
  <c r="W70" i="1" s="1"/>
  <c r="X77" i="1"/>
  <c r="X70" i="1" s="1"/>
  <c r="Y77" i="1"/>
  <c r="Y70" i="1" s="1"/>
  <c r="Z77" i="1"/>
  <c r="Z70" i="1" s="1"/>
  <c r="Z67" i="1" s="1"/>
  <c r="AA77" i="1"/>
  <c r="AA70" i="1" s="1"/>
  <c r="AB77" i="1"/>
  <c r="AB70" i="1" s="1"/>
  <c r="AC77" i="1"/>
  <c r="AC70" i="1" s="1"/>
  <c r="AD77" i="1"/>
  <c r="AD70" i="1" s="1"/>
  <c r="AD67" i="1" s="1"/>
  <c r="AE77" i="1"/>
  <c r="AE70" i="1" s="1"/>
  <c r="AF77" i="1"/>
  <c r="AF70" i="1" s="1"/>
  <c r="AG77" i="1"/>
  <c r="AG70" i="1" s="1"/>
  <c r="AI77" i="1"/>
  <c r="AI70" i="1" s="1"/>
  <c r="AJ77" i="1"/>
  <c r="AJ70" i="1" s="1"/>
  <c r="AK77" i="1"/>
  <c r="AK70" i="1" s="1"/>
  <c r="AL77" i="1"/>
  <c r="AL70" i="1" s="1"/>
  <c r="AL67" i="1" s="1"/>
  <c r="AM77" i="1"/>
  <c r="AM70" i="1" s="1"/>
  <c r="AN77" i="1"/>
  <c r="AN70" i="1" s="1"/>
  <c r="AO77" i="1"/>
  <c r="AO70" i="1" s="1"/>
  <c r="AP77" i="1"/>
  <c r="AP70" i="1" s="1"/>
  <c r="AP67" i="1" s="1"/>
  <c r="AQ77" i="1"/>
  <c r="AQ70" i="1" s="1"/>
  <c r="AR77" i="1"/>
  <c r="AR70" i="1" s="1"/>
  <c r="AS77" i="1"/>
  <c r="AS70" i="1" s="1"/>
  <c r="AT77" i="1"/>
  <c r="AT70" i="1" s="1"/>
  <c r="AU77" i="1"/>
  <c r="AU70" i="1" s="1"/>
  <c r="AZ77" i="1"/>
  <c r="AZ70" i="1" s="1"/>
  <c r="AZ67" i="1" s="1"/>
  <c r="BA77" i="1"/>
  <c r="BA70" i="1" s="1"/>
  <c r="BB77" i="1"/>
  <c r="BB70" i="1" s="1"/>
  <c r="BB67" i="1" s="1"/>
  <c r="BC77" i="1"/>
  <c r="BC70" i="1" s="1"/>
  <c r="BD77" i="1"/>
  <c r="BD70" i="1" s="1"/>
  <c r="BD67" i="1" s="1"/>
  <c r="BG77" i="1"/>
  <c r="BG70" i="1" s="1"/>
  <c r="BH77" i="1"/>
  <c r="BH70" i="1" s="1"/>
  <c r="BH67" i="1" s="1"/>
  <c r="BI77" i="1"/>
  <c r="BI70" i="1" s="1"/>
  <c r="BJ77" i="1"/>
  <c r="BJ70" i="1" s="1"/>
  <c r="D78" i="1"/>
  <c r="D80" i="1"/>
  <c r="D81" i="1"/>
  <c r="D82" i="1"/>
  <c r="D83" i="1"/>
  <c r="D84" i="1"/>
  <c r="D85" i="1"/>
  <c r="D86" i="1"/>
  <c r="D87" i="1"/>
  <c r="D88" i="1"/>
  <c r="D89" i="1"/>
  <c r="D90" i="1"/>
  <c r="D91" i="1"/>
  <c r="AF67" i="1" l="1"/>
  <c r="AB67" i="1"/>
  <c r="X67" i="1"/>
  <c r="T67" i="1"/>
  <c r="P67" i="1"/>
  <c r="L67" i="1"/>
  <c r="AX67" i="1"/>
  <c r="H67" i="1"/>
  <c r="BJ67" i="1"/>
  <c r="AR67" i="1"/>
  <c r="AN67" i="1"/>
  <c r="AJ67" i="1"/>
  <c r="AK67" i="1"/>
  <c r="BJ47" i="1"/>
  <c r="BF47" i="1"/>
  <c r="BB47" i="1"/>
  <c r="AX47" i="1"/>
  <c r="AT47" i="1"/>
  <c r="AF47" i="1"/>
  <c r="AB47" i="1"/>
  <c r="J47" i="1"/>
  <c r="F47" i="1"/>
  <c r="J67" i="1"/>
  <c r="BI67" i="1"/>
  <c r="BG67" i="1"/>
  <c r="AS67" i="1"/>
  <c r="AQ67" i="1"/>
  <c r="AO67" i="1"/>
  <c r="AM67" i="1"/>
  <c r="AI67" i="1"/>
  <c r="E67" i="1"/>
  <c r="D60" i="1"/>
  <c r="P48" i="1"/>
  <c r="P47" i="1" s="1"/>
  <c r="BI47" i="1"/>
  <c r="BG47" i="1"/>
  <c r="BE47" i="1"/>
  <c r="BC47" i="1"/>
  <c r="BA47" i="1"/>
  <c r="AW47" i="1"/>
  <c r="AU47" i="1"/>
  <c r="AS47" i="1"/>
  <c r="AQ47" i="1"/>
  <c r="AI47" i="1"/>
  <c r="AG47" i="1"/>
  <c r="AE47" i="1"/>
  <c r="AC47" i="1"/>
  <c r="AA47" i="1"/>
  <c r="Y47" i="1"/>
  <c r="K47" i="1"/>
  <c r="I47" i="1"/>
  <c r="G47" i="1"/>
  <c r="E47" i="1"/>
  <c r="D42" i="1"/>
  <c r="X52" i="1"/>
  <c r="AP48" i="1"/>
  <c r="AP47" i="1" s="1"/>
  <c r="AX10" i="1"/>
  <c r="Z10" i="1"/>
  <c r="BC10" i="1"/>
  <c r="I10" i="1"/>
  <c r="AT10" i="1"/>
  <c r="J10" i="1"/>
  <c r="AQ11" i="1"/>
  <c r="BJ10" i="1"/>
  <c r="BH10" i="1"/>
  <c r="BF10" i="1"/>
  <c r="AV10" i="1"/>
  <c r="AR10" i="1"/>
  <c r="AN10" i="1"/>
  <c r="AI10" i="1"/>
  <c r="AG10" i="1"/>
  <c r="AD10" i="1"/>
  <c r="AA10" i="1"/>
  <c r="X10" i="1"/>
  <c r="V10" i="1"/>
  <c r="S10" i="1"/>
  <c r="N10" i="1"/>
  <c r="K10" i="1"/>
  <c r="E10" i="1"/>
  <c r="O47" i="1"/>
  <c r="M47" i="1"/>
  <c r="Q10" i="1"/>
  <c r="AJ11" i="1"/>
  <c r="AJ10" i="1" s="1"/>
  <c r="BE10" i="1"/>
  <c r="BA10" i="1"/>
  <c r="BE67" i="1"/>
  <c r="AY67" i="1"/>
  <c r="AW67" i="1"/>
  <c r="G67" i="1"/>
  <c r="AN47" i="1"/>
  <c r="AL47" i="1"/>
  <c r="V47" i="1"/>
  <c r="T47" i="1"/>
  <c r="R47" i="1"/>
  <c r="AJ48" i="1"/>
  <c r="AJ47" i="1" s="1"/>
  <c r="AO47" i="1"/>
  <c r="AM47" i="1"/>
  <c r="AK47" i="1"/>
  <c r="W47" i="1"/>
  <c r="U47" i="1"/>
  <c r="S47" i="1"/>
  <c r="Q47" i="1"/>
  <c r="T10" i="1"/>
  <c r="AP10" i="1"/>
  <c r="G10" i="1"/>
  <c r="BD10" i="1"/>
  <c r="AS10" i="1"/>
  <c r="AC10" i="1"/>
  <c r="P10" i="1"/>
  <c r="H10" i="1"/>
  <c r="AK11" i="1"/>
  <c r="BI10" i="1"/>
  <c r="BG10" i="1"/>
  <c r="BB10" i="1"/>
  <c r="AZ10" i="1"/>
  <c r="AW10" i="1"/>
  <c r="AU10" i="1"/>
  <c r="AO10" i="1"/>
  <c r="AL10" i="1"/>
  <c r="AB10" i="1"/>
  <c r="Y10" i="1"/>
  <c r="W10" i="1"/>
  <c r="U10" i="1"/>
  <c r="O10" i="1"/>
  <c r="L10" i="1"/>
  <c r="F10" i="1"/>
  <c r="F68" i="1"/>
  <c r="F67" i="1" s="1"/>
  <c r="AT67" i="1"/>
  <c r="AG67" i="1"/>
  <c r="AE67" i="1"/>
  <c r="AC67" i="1"/>
  <c r="AA67" i="1"/>
  <c r="Y67" i="1"/>
  <c r="W67" i="1"/>
  <c r="U67" i="1"/>
  <c r="S67" i="1"/>
  <c r="Q67" i="1"/>
  <c r="O67" i="1"/>
  <c r="M67" i="1"/>
  <c r="K67" i="1"/>
  <c r="X47" i="1"/>
  <c r="AQ10" i="1"/>
  <c r="AY10" i="1"/>
  <c r="BC67" i="1"/>
  <c r="BA67" i="1"/>
  <c r="AU67" i="1"/>
  <c r="I67" i="1"/>
  <c r="AM10" i="1"/>
  <c r="AK10" i="1"/>
  <c r="AH10" i="1"/>
  <c r="AF10" i="1"/>
  <c r="D53" i="1"/>
  <c r="D52" i="1" s="1"/>
  <c r="R45" i="1"/>
  <c r="AE11" i="1"/>
  <c r="AE10" i="1" s="1"/>
  <c r="M11" i="1"/>
  <c r="M10" i="1" s="1"/>
  <c r="PB11" i="1"/>
  <c r="PB25" i="1"/>
  <c r="PB35" i="1"/>
  <c r="PB40" i="1"/>
  <c r="PB42" i="1"/>
  <c r="PB45" i="1"/>
  <c r="PB48" i="1"/>
  <c r="PB52" i="1"/>
  <c r="PB68" i="1"/>
  <c r="PB77" i="1"/>
  <c r="PB70" i="1" s="1"/>
  <c r="CY77" i="1"/>
  <c r="CY70" i="1" s="1"/>
  <c r="DG77" i="1"/>
  <c r="DG70" i="1" s="1"/>
  <c r="JN77" i="1"/>
  <c r="JN70" i="1" s="1"/>
  <c r="RN77" i="1"/>
  <c r="RN70" i="1" s="1"/>
  <c r="NQ77" i="1"/>
  <c r="NQ70" i="1" s="1"/>
  <c r="RM77" i="1"/>
  <c r="RM70" i="1" s="1"/>
  <c r="RL77" i="1"/>
  <c r="RL70" i="1" s="1"/>
  <c r="GM77" i="1"/>
  <c r="GM70" i="1" s="1"/>
  <c r="LU77" i="1"/>
  <c r="LU70" i="1" s="1"/>
  <c r="DF77" i="1"/>
  <c r="DF70" i="1" s="1"/>
  <c r="RJ77" i="1"/>
  <c r="RJ70" i="1" s="1"/>
  <c r="RK77" i="1"/>
  <c r="RK70" i="1" s="1"/>
  <c r="RE77" i="1"/>
  <c r="RE70" i="1" s="1"/>
  <c r="RI77" i="1"/>
  <c r="RI70" i="1" s="1"/>
  <c r="RH77" i="1"/>
  <c r="RH70" i="1" s="1"/>
  <c r="RF77" i="1"/>
  <c r="RF70" i="1" s="1"/>
  <c r="RD77" i="1"/>
  <c r="RD70" i="1" s="1"/>
  <c r="DO77" i="1"/>
  <c r="DO70" i="1" s="1"/>
  <c r="DN77" i="1"/>
  <c r="DN70" i="1" s="1"/>
  <c r="LT77" i="1"/>
  <c r="LT70" i="1" s="1"/>
  <c r="DM77" i="1"/>
  <c r="DM70" i="1" s="1"/>
  <c r="DL77" i="1"/>
  <c r="DL70" i="1" s="1"/>
  <c r="RC77" i="1"/>
  <c r="RC70" i="1" s="1"/>
  <c r="RB77" i="1"/>
  <c r="RB70" i="1" s="1"/>
  <c r="RA77" i="1"/>
  <c r="RA70" i="1" s="1"/>
  <c r="QZ77" i="1"/>
  <c r="QZ70" i="1" s="1"/>
  <c r="QY77" i="1"/>
  <c r="QY70" i="1" s="1"/>
  <c r="QX77" i="1"/>
  <c r="QX70" i="1" s="1"/>
  <c r="QW77" i="1"/>
  <c r="QW70" i="1" s="1"/>
  <c r="QU77" i="1"/>
  <c r="QU70" i="1" s="1"/>
  <c r="QV77" i="1"/>
  <c r="QV70" i="1" s="1"/>
  <c r="QS77" i="1"/>
  <c r="QS70" i="1" s="1"/>
  <c r="GJ77" i="1"/>
  <c r="GJ70" i="1" s="1"/>
  <c r="JM77" i="1"/>
  <c r="JM70" i="1" s="1"/>
  <c r="GL77" i="1"/>
  <c r="GL70" i="1" s="1"/>
  <c r="JJ77" i="1"/>
  <c r="JJ70" i="1" s="1"/>
  <c r="GK77" i="1"/>
  <c r="GK70" i="1" s="1"/>
  <c r="EE77" i="1"/>
  <c r="EE70" i="1" s="1"/>
  <c r="GC77" i="1"/>
  <c r="GC70" i="1" s="1"/>
  <c r="HW77" i="1"/>
  <c r="HW70" i="1" s="1"/>
  <c r="HE77" i="1"/>
  <c r="HE70" i="1" s="1"/>
  <c r="NB77" i="1"/>
  <c r="NB70" i="1" s="1"/>
  <c r="EV77" i="1"/>
  <c r="EV70" i="1" s="1"/>
  <c r="PS77" i="1"/>
  <c r="PS70" i="1" s="1"/>
  <c r="PR77" i="1"/>
  <c r="PR70" i="1" s="1"/>
  <c r="QT77" i="1"/>
  <c r="QT70" i="1" s="1"/>
  <c r="QM77" i="1"/>
  <c r="QM70" i="1" s="1"/>
  <c r="EK77" i="1"/>
  <c r="EK70" i="1" s="1"/>
  <c r="KG77" i="1"/>
  <c r="KG70" i="1" s="1"/>
  <c r="OF77" i="1"/>
  <c r="OF70" i="1" s="1"/>
  <c r="NA77" i="1"/>
  <c r="NA70" i="1" s="1"/>
  <c r="GD77" i="1"/>
  <c r="GD70" i="1" s="1"/>
  <c r="OD77" i="1"/>
  <c r="OD70" i="1" s="1"/>
  <c r="KA77" i="1"/>
  <c r="KA70" i="1" s="1"/>
  <c r="QL77" i="1"/>
  <c r="QL70" i="1" s="1"/>
  <c r="MY77" i="1"/>
  <c r="MY70" i="1" s="1"/>
  <c r="HL77" i="1"/>
  <c r="HL70" i="1" s="1"/>
  <c r="HK77" i="1"/>
  <c r="HK70" i="1" s="1"/>
  <c r="MZ77" i="1"/>
  <c r="MZ70" i="1" s="1"/>
  <c r="ET77" i="1"/>
  <c r="ET70" i="1" s="1"/>
  <c r="ES77" i="1"/>
  <c r="ES70" i="1" s="1"/>
  <c r="HJ77" i="1"/>
  <c r="HJ70" i="1" s="1"/>
  <c r="HI77" i="1"/>
  <c r="HI70" i="1" s="1"/>
  <c r="ER77" i="1"/>
  <c r="ER70" i="1" s="1"/>
  <c r="MX77" i="1"/>
  <c r="MX70" i="1" s="1"/>
  <c r="EQ77" i="1"/>
  <c r="EQ70" i="1" s="1"/>
  <c r="EP77" i="1"/>
  <c r="EP70" i="1" s="1"/>
  <c r="GA77" i="1"/>
  <c r="GA70" i="1" s="1"/>
  <c r="MW77" i="1"/>
  <c r="MW70" i="1" s="1"/>
  <c r="EO77" i="1"/>
  <c r="EO70" i="1" s="1"/>
  <c r="FZ77" i="1"/>
  <c r="FZ70" i="1" s="1"/>
  <c r="EN77" i="1"/>
  <c r="EN70" i="1" s="1"/>
  <c r="KO77" i="1"/>
  <c r="KO70" i="1" s="1"/>
  <c r="MV77" i="1"/>
  <c r="MV70" i="1" s="1"/>
  <c r="EJ77" i="1"/>
  <c r="EJ70" i="1" s="1"/>
  <c r="EI77" i="1"/>
  <c r="EI70" i="1" s="1"/>
  <c r="KN77" i="1"/>
  <c r="KN70" i="1" s="1"/>
  <c r="IF77" i="1"/>
  <c r="IF70" i="1" s="1"/>
  <c r="EM77" i="1"/>
  <c r="EM70" i="1" s="1"/>
  <c r="EL77" i="1"/>
  <c r="EL70" i="1" s="1"/>
  <c r="QK77" i="1"/>
  <c r="QK70" i="1" s="1"/>
  <c r="MU77" i="1"/>
  <c r="MU70" i="1" s="1"/>
  <c r="MT77" i="1"/>
  <c r="MT70" i="1" s="1"/>
  <c r="FY77" i="1"/>
  <c r="FY70" i="1" s="1"/>
  <c r="IE77" i="1"/>
  <c r="IE70" i="1" s="1"/>
  <c r="FX77" i="1"/>
  <c r="FX70" i="1" s="1"/>
  <c r="ID77" i="1"/>
  <c r="ID70" i="1" s="1"/>
  <c r="KM77" i="1"/>
  <c r="KM70" i="1" s="1"/>
  <c r="MS77" i="1"/>
  <c r="MS70" i="1" s="1"/>
  <c r="MR77" i="1"/>
  <c r="MR70" i="1" s="1"/>
  <c r="CS77" i="1"/>
  <c r="CS70" i="1" s="1"/>
  <c r="IC77" i="1"/>
  <c r="IC70" i="1" s="1"/>
  <c r="CQ77" i="1"/>
  <c r="CQ70" i="1" s="1"/>
  <c r="KL77" i="1"/>
  <c r="KL70" i="1" s="1"/>
  <c r="CR77" i="1"/>
  <c r="CR70" i="1" s="1"/>
  <c r="MQ77" i="1"/>
  <c r="MQ70" i="1" s="1"/>
  <c r="QJ77" i="1"/>
  <c r="QJ70" i="1" s="1"/>
  <c r="CP77" i="1"/>
  <c r="CP70" i="1" s="1"/>
  <c r="CO77" i="1"/>
  <c r="CO70" i="1" s="1"/>
  <c r="LB77" i="1"/>
  <c r="LB70" i="1" s="1"/>
  <c r="CN77" i="1"/>
  <c r="CN70" i="1" s="1"/>
  <c r="CM77" i="1"/>
  <c r="CM70" i="1" s="1"/>
  <c r="IB77" i="1"/>
  <c r="IB70" i="1" s="1"/>
  <c r="IA77" i="1"/>
  <c r="IA70" i="1" s="1"/>
  <c r="MP77" i="1"/>
  <c r="MP70" i="1" s="1"/>
  <c r="MO77" i="1"/>
  <c r="MO70" i="1" s="1"/>
  <c r="QI77" i="1"/>
  <c r="QI70" i="1" s="1"/>
  <c r="CL77" i="1"/>
  <c r="CL70" i="1" s="1"/>
  <c r="OE77" i="1"/>
  <c r="OE70" i="1" s="1"/>
  <c r="CK77" i="1"/>
  <c r="CK70" i="1" s="1"/>
  <c r="CJ77" i="1"/>
  <c r="CJ70" i="1" s="1"/>
  <c r="KK77" i="1"/>
  <c r="KK70" i="1" s="1"/>
  <c r="CI77" i="1"/>
  <c r="CI70" i="1" s="1"/>
  <c r="CH77" i="1"/>
  <c r="CH70" i="1" s="1"/>
  <c r="MN77" i="1"/>
  <c r="MN70" i="1" s="1"/>
  <c r="FA77" i="1"/>
  <c r="FA70" i="1" s="1"/>
  <c r="PN77" i="1"/>
  <c r="PN70" i="1" s="1"/>
  <c r="QH77" i="1"/>
  <c r="QH70" i="1" s="1"/>
  <c r="QG77" i="1"/>
  <c r="QG70" i="1" s="1"/>
  <c r="KJ77" i="1"/>
  <c r="KJ70" i="1" s="1"/>
  <c r="FW77" i="1"/>
  <c r="FW70" i="1" s="1"/>
  <c r="KI77" i="1"/>
  <c r="KI70" i="1" s="1"/>
  <c r="FV77" i="1"/>
  <c r="FV70" i="1" s="1"/>
  <c r="CG77" i="1"/>
  <c r="CG70" i="1" s="1"/>
  <c r="KH77" i="1"/>
  <c r="KH70" i="1" s="1"/>
  <c r="CF77" i="1"/>
  <c r="CF70" i="1" s="1"/>
  <c r="II77" i="1"/>
  <c r="II70" i="1" s="1"/>
  <c r="IH77" i="1"/>
  <c r="IH70" i="1" s="1"/>
  <c r="IG77" i="1"/>
  <c r="IG70" i="1" s="1"/>
  <c r="CE77" i="1"/>
  <c r="CE70" i="1" s="1"/>
  <c r="MM77" i="1"/>
  <c r="MM70" i="1" s="1"/>
  <c r="MK77" i="1"/>
  <c r="MK70" i="1" s="1"/>
  <c r="HZ77" i="1"/>
  <c r="HZ70" i="1" s="1"/>
  <c r="PQ77" i="1"/>
  <c r="PQ70" i="1" s="1"/>
  <c r="PP77" i="1"/>
  <c r="PP70" i="1" s="1"/>
  <c r="JZ77" i="1"/>
  <c r="JZ70" i="1" s="1"/>
  <c r="CD77" i="1"/>
  <c r="CD70" i="1" s="1"/>
  <c r="CC77" i="1"/>
  <c r="CC70" i="1" s="1"/>
  <c r="CB77" i="1"/>
  <c r="CB70" i="1" s="1"/>
  <c r="IR77" i="1"/>
  <c r="IR70" i="1" s="1"/>
  <c r="ML77" i="1"/>
  <c r="ML70" i="1" s="1"/>
  <c r="PO77" i="1"/>
  <c r="PO70" i="1" s="1"/>
  <c r="PY77" i="1"/>
  <c r="PY70" i="1" s="1"/>
  <c r="IQ77" i="1"/>
  <c r="IQ70" i="1" s="1"/>
  <c r="FU77" i="1"/>
  <c r="FU70" i="1" s="1"/>
  <c r="CA77" i="1"/>
  <c r="CA70" i="1" s="1"/>
  <c r="QF77" i="1"/>
  <c r="QF70" i="1" s="1"/>
  <c r="MJ77" i="1"/>
  <c r="MJ70" i="1" s="1"/>
  <c r="QE77" i="1"/>
  <c r="QE70" i="1" s="1"/>
  <c r="PX77" i="1"/>
  <c r="PX70" i="1" s="1"/>
  <c r="IP77" i="1"/>
  <c r="IP70" i="1" s="1"/>
  <c r="BZ77" i="1"/>
  <c r="BZ70" i="1" s="1"/>
  <c r="KZ77" i="1"/>
  <c r="KZ70" i="1" s="1"/>
  <c r="KY77" i="1"/>
  <c r="KY70" i="1" s="1"/>
  <c r="FT77" i="1"/>
  <c r="FT70" i="1" s="1"/>
  <c r="KX77" i="1"/>
  <c r="MI77" i="1"/>
  <c r="MI70" i="1" s="1"/>
  <c r="MH77" i="1"/>
  <c r="MH70" i="1" s="1"/>
  <c r="OK77" i="1"/>
  <c r="OK70" i="1" s="1"/>
  <c r="FR77" i="1"/>
  <c r="FR70" i="1" s="1"/>
  <c r="FQ77" i="1"/>
  <c r="FQ70" i="1" s="1"/>
  <c r="MG77" i="1"/>
  <c r="MG70" i="1" s="1"/>
  <c r="MF77" i="1"/>
  <c r="MF70" i="1" s="1"/>
  <c r="ME77" i="1"/>
  <c r="ME70" i="1" s="1"/>
  <c r="QA77" i="1"/>
  <c r="QA70" i="1" s="1"/>
  <c r="MD77" i="1"/>
  <c r="MD70" i="1" s="1"/>
  <c r="OJ77" i="1"/>
  <c r="OJ70" i="1" s="1"/>
  <c r="LA77" i="1"/>
  <c r="LA70" i="1" s="1"/>
  <c r="BS77" i="1"/>
  <c r="BS70" i="1" s="1"/>
  <c r="PZ77" i="1"/>
  <c r="PZ70" i="1" s="1"/>
  <c r="FS77" i="1"/>
  <c r="FS70" i="1" s="1"/>
  <c r="PW77" i="1"/>
  <c r="BY77" i="1"/>
  <c r="BY70" i="1" s="1"/>
  <c r="KV77" i="1"/>
  <c r="KV70" i="1" s="1"/>
  <c r="IO77" i="1"/>
  <c r="IO70" i="1" s="1"/>
  <c r="BX77" i="1"/>
  <c r="BX70" i="1" s="1"/>
  <c r="QD77" i="1"/>
  <c r="QD70" i="1" s="1"/>
  <c r="NI77" i="1"/>
  <c r="NI70" i="1" s="1"/>
  <c r="NH77" i="1"/>
  <c r="NH70" i="1" s="1"/>
  <c r="KU77" i="1"/>
  <c r="KU70" i="1" s="1"/>
  <c r="NG77" i="1"/>
  <c r="NG70" i="1" s="1"/>
  <c r="FP77" i="1"/>
  <c r="FP70" i="1" s="1"/>
  <c r="FO77" i="1"/>
  <c r="FO70" i="1" s="1"/>
  <c r="IN77" i="1"/>
  <c r="IN70" i="1" s="1"/>
  <c r="IM77" i="1"/>
  <c r="IM70" i="1" s="1"/>
  <c r="NZ77" i="1"/>
  <c r="NZ70" i="1" s="1"/>
  <c r="LY77" i="1"/>
  <c r="LY70" i="1" s="1"/>
  <c r="QC77" i="1"/>
  <c r="QC70" i="1" s="1"/>
  <c r="FN77" i="1"/>
  <c r="FN70" i="1" s="1"/>
  <c r="QB77" i="1"/>
  <c r="QB70" i="1" s="1"/>
  <c r="PU77" i="1"/>
  <c r="PU70" i="1" s="1"/>
  <c r="IL77" i="1"/>
  <c r="IL70" i="1" s="1"/>
  <c r="BW77" i="1"/>
  <c r="BW70" i="1" s="1"/>
  <c r="BV77" i="1"/>
  <c r="BV70" i="1" s="1"/>
  <c r="OA77" i="1"/>
  <c r="OA70" i="1" s="1"/>
  <c r="NY77" i="1"/>
  <c r="NY70" i="1" s="1"/>
  <c r="IK77" i="1"/>
  <c r="IK70" i="1" s="1"/>
  <c r="NP77" i="1"/>
  <c r="NP70" i="1" s="1"/>
  <c r="FM77" i="1"/>
  <c r="FM70" i="1" s="1"/>
  <c r="FL77" i="1"/>
  <c r="FL70" i="1" s="1"/>
  <c r="NO77" i="1"/>
  <c r="NO70" i="1" s="1"/>
  <c r="IS77" i="1"/>
  <c r="IS70" i="1" s="1"/>
  <c r="PV77" i="1"/>
  <c r="PV70" i="1" s="1"/>
  <c r="IT77" i="1"/>
  <c r="IT70" i="1" s="1"/>
  <c r="PT77" i="1"/>
  <c r="PT70" i="1" s="1"/>
  <c r="PM77" i="1"/>
  <c r="PM70" i="1" s="1"/>
  <c r="PL77" i="1"/>
  <c r="PL70" i="1" s="1"/>
  <c r="IJ77" i="1"/>
  <c r="IJ70" i="1" s="1"/>
  <c r="NL77" i="1"/>
  <c r="NL70" i="1" s="1"/>
  <c r="NM77" i="1"/>
  <c r="NM70" i="1" s="1"/>
  <c r="BU77" i="1"/>
  <c r="BU70" i="1" s="1"/>
  <c r="BT77" i="1"/>
  <c r="BT70" i="1" s="1"/>
  <c r="PK77" i="1"/>
  <c r="PK70" i="1" s="1"/>
  <c r="PJ77" i="1"/>
  <c r="PJ70" i="1" s="1"/>
  <c r="IY77" i="1"/>
  <c r="IY70" i="1" s="1"/>
  <c r="IX77" i="1"/>
  <c r="IX70" i="1" s="1"/>
  <c r="BR77" i="1"/>
  <c r="BR70" i="1" s="1"/>
  <c r="NK77" i="1"/>
  <c r="NK70" i="1" s="1"/>
  <c r="NX77" i="1"/>
  <c r="NX70" i="1" s="1"/>
  <c r="NJ77" i="1"/>
  <c r="NJ70" i="1" s="1"/>
  <c r="PH77" i="1"/>
  <c r="PH70" i="1" s="1"/>
  <c r="PG77" i="1"/>
  <c r="PG70" i="1" s="1"/>
  <c r="IW77" i="1"/>
  <c r="IW70" i="1" s="1"/>
  <c r="FK77" i="1"/>
  <c r="FK70" i="1" s="1"/>
  <c r="FJ77" i="1"/>
  <c r="FJ70" i="1" s="1"/>
  <c r="PI77" i="1"/>
  <c r="PI70" i="1" s="1"/>
  <c r="PF77" i="1"/>
  <c r="PF70" i="1" s="1"/>
  <c r="IZ77" i="1"/>
  <c r="IZ70" i="1" s="1"/>
  <c r="KT77" i="1"/>
  <c r="KT70" i="1" s="1"/>
  <c r="HF77" i="1"/>
  <c r="HF70" i="1" s="1"/>
  <c r="IV77" i="1"/>
  <c r="IV70" i="1" s="1"/>
  <c r="IU77" i="1"/>
  <c r="IU70" i="1" s="1"/>
  <c r="PE77" i="1"/>
  <c r="PE70" i="1" s="1"/>
  <c r="OG77" i="1"/>
  <c r="OG70" i="1" s="1"/>
  <c r="JC77" i="1"/>
  <c r="JC70" i="1" s="1"/>
  <c r="NN77" i="1"/>
  <c r="NN70" i="1" s="1"/>
  <c r="PC77" i="1"/>
  <c r="PC70" i="1" s="1"/>
  <c r="FB77" i="1"/>
  <c r="FB70" i="1" s="1"/>
  <c r="EZ77" i="1"/>
  <c r="EZ70" i="1" s="1"/>
  <c r="PD77" i="1"/>
  <c r="PD70" i="1" s="1"/>
  <c r="BQ77" i="1"/>
  <c r="BQ70" i="1" s="1"/>
  <c r="MC77" i="1"/>
  <c r="MC70" i="1" s="1"/>
  <c r="FI77" i="1"/>
  <c r="FI70" i="1" s="1"/>
  <c r="BP77" i="1"/>
  <c r="BP70" i="1" s="1"/>
  <c r="HB77" i="1"/>
  <c r="HB70" i="1" s="1"/>
  <c r="HA77" i="1"/>
  <c r="HA70" i="1" s="1"/>
  <c r="GZ77" i="1"/>
  <c r="GZ70" i="1" s="1"/>
  <c r="JB77" i="1"/>
  <c r="JB70" i="1" s="1"/>
  <c r="JA77" i="1"/>
  <c r="JA70" i="1" s="1"/>
  <c r="KS77" i="1"/>
  <c r="KS70" i="1" s="1"/>
  <c r="GY77" i="1"/>
  <c r="GY70" i="1" s="1"/>
  <c r="BO77" i="1"/>
  <c r="BO70" i="1" s="1"/>
  <c r="GX77" i="1"/>
  <c r="GX70" i="1" s="1"/>
  <c r="BN77" i="1"/>
  <c r="BN70" i="1" s="1"/>
  <c r="BM77" i="1"/>
  <c r="BM70" i="1" s="1"/>
  <c r="MB77" i="1"/>
  <c r="MB70" i="1" s="1"/>
  <c r="GV77" i="1"/>
  <c r="GV70" i="1" s="1"/>
  <c r="GU77" i="1"/>
  <c r="GU70" i="1" s="1"/>
  <c r="LZ77" i="1"/>
  <c r="LZ70" i="1" s="1"/>
  <c r="NW77" i="1"/>
  <c r="NW70" i="1" s="1"/>
  <c r="FH77" i="1"/>
  <c r="FH70" i="1" s="1"/>
  <c r="GT77" i="1"/>
  <c r="GT70" i="1" s="1"/>
  <c r="KR77" i="1"/>
  <c r="KR70" i="1" s="1"/>
  <c r="PA77" i="1"/>
  <c r="PA70" i="1" s="1"/>
  <c r="BL77" i="1"/>
  <c r="BL70" i="1" s="1"/>
  <c r="OZ77" i="1"/>
  <c r="OZ70" i="1" s="1"/>
  <c r="GW77" i="1"/>
  <c r="GW70" i="1" s="1"/>
  <c r="OY77" i="1"/>
  <c r="OY70" i="1" s="1"/>
  <c r="ON77" i="1"/>
  <c r="ON70" i="1" s="1"/>
  <c r="FC77" i="1"/>
  <c r="FC70" i="1" s="1"/>
  <c r="OX77" i="1"/>
  <c r="OX70" i="1" s="1"/>
  <c r="OW77" i="1"/>
  <c r="OW70" i="1" s="1"/>
  <c r="FF77" i="1"/>
  <c r="FF70" i="1" s="1"/>
  <c r="NV77" i="1"/>
  <c r="NV70" i="1" s="1"/>
  <c r="KQ77" i="1"/>
  <c r="KQ70" i="1" s="1"/>
  <c r="KP77" i="1"/>
  <c r="KP70" i="1" s="1"/>
  <c r="FG77" i="1"/>
  <c r="FG70" i="1" s="1"/>
  <c r="OV77" i="1"/>
  <c r="OV70" i="1" s="1"/>
  <c r="MA77" i="1"/>
  <c r="MA70" i="1" s="1"/>
  <c r="OU77" i="1"/>
  <c r="OU70" i="1" s="1"/>
  <c r="HH77" i="1"/>
  <c r="HH70" i="1" s="1"/>
  <c r="GS77" i="1"/>
  <c r="GS70" i="1" s="1"/>
  <c r="FE77" i="1"/>
  <c r="FE70" i="1" s="1"/>
  <c r="FD77" i="1"/>
  <c r="FD70" i="1" s="1"/>
  <c r="KW77" i="1"/>
  <c r="KW70" i="1" s="1"/>
  <c r="OP77" i="1"/>
  <c r="OP70" i="1" s="1"/>
  <c r="OO77" i="1"/>
  <c r="OO70" i="1" s="1"/>
  <c r="OM77" i="1"/>
  <c r="OM70" i="1" s="1"/>
  <c r="HG77" i="1"/>
  <c r="HG70" i="1" s="1"/>
  <c r="OI77" i="1"/>
  <c r="OI70" i="1" s="1"/>
  <c r="OH77" i="1"/>
  <c r="OH70" i="1" s="1"/>
  <c r="EY77" i="1"/>
  <c r="EY70" i="1" s="1"/>
  <c r="EX77" i="1"/>
  <c r="EX70" i="1" s="1"/>
  <c r="EW77" i="1"/>
  <c r="EW70" i="1" s="1"/>
  <c r="OT77" i="1"/>
  <c r="OT70" i="1" s="1"/>
  <c r="OS77" i="1"/>
  <c r="OS70" i="1" s="1"/>
  <c r="OR77" i="1"/>
  <c r="OR70" i="1" s="1"/>
  <c r="OR69" i="1" s="1"/>
  <c r="OR68" i="1" s="1"/>
  <c r="OR67" i="1" s="1"/>
  <c r="KX75" i="1"/>
  <c r="PW75" i="1"/>
  <c r="CX70" i="1"/>
  <c r="CW70" i="1"/>
  <c r="LQ70" i="1"/>
  <c r="LP70" i="1"/>
  <c r="JW70" i="1"/>
  <c r="HV70" i="1"/>
  <c r="GR70" i="1"/>
  <c r="HU70" i="1"/>
  <c r="JV70" i="1"/>
  <c r="LO70" i="1"/>
  <c r="DK70" i="1"/>
  <c r="GQ70" i="1"/>
  <c r="CV70" i="1"/>
  <c r="LN70" i="1"/>
  <c r="CU70" i="1"/>
  <c r="CT70" i="1"/>
  <c r="JU70" i="1"/>
  <c r="LM70" i="1"/>
  <c r="GO70" i="1"/>
  <c r="HT70" i="1"/>
  <c r="JT70" i="1"/>
  <c r="LL70" i="1"/>
  <c r="GP70" i="1"/>
  <c r="LK70" i="1"/>
  <c r="DD70" i="1"/>
  <c r="DC70" i="1"/>
  <c r="HS70" i="1"/>
  <c r="QO70" i="1"/>
  <c r="DB70" i="1"/>
  <c r="NU70" i="1"/>
  <c r="DA70" i="1"/>
  <c r="HR70" i="1"/>
  <c r="LJ70" i="1"/>
  <c r="JS70" i="1"/>
  <c r="LI70" i="1"/>
  <c r="JR70" i="1"/>
  <c r="JQ70" i="1"/>
  <c r="JP70" i="1"/>
  <c r="CZ70" i="1"/>
  <c r="NT70" i="1"/>
  <c r="NS70" i="1"/>
  <c r="HQ70" i="1"/>
  <c r="LH70" i="1"/>
  <c r="DJ70" i="1"/>
  <c r="DI70" i="1"/>
  <c r="JY70" i="1"/>
  <c r="JX70" i="1"/>
  <c r="DH70" i="1"/>
  <c r="DE70" i="1"/>
  <c r="LG70" i="1"/>
  <c r="JO70" i="1"/>
  <c r="GN70" i="1"/>
  <c r="RG70" i="1"/>
  <c r="DX70" i="1"/>
  <c r="QQ70" i="1"/>
  <c r="JL70" i="1"/>
  <c r="HP70" i="1"/>
  <c r="HO70" i="1"/>
  <c r="DW70" i="1"/>
  <c r="QR70" i="1"/>
  <c r="JK70" i="1"/>
  <c r="HN70" i="1"/>
  <c r="HM70" i="1"/>
  <c r="LW70" i="1"/>
  <c r="DV70" i="1"/>
  <c r="QP70" i="1"/>
  <c r="JI70" i="1"/>
  <c r="DU70" i="1"/>
  <c r="LV70" i="1"/>
  <c r="JH70" i="1"/>
  <c r="JG70" i="1"/>
  <c r="JF70" i="1"/>
  <c r="DT70" i="1"/>
  <c r="JD70" i="1"/>
  <c r="DS70" i="1"/>
  <c r="JE70" i="1"/>
  <c r="DQ70" i="1"/>
  <c r="DP70" i="1"/>
  <c r="QN70" i="1"/>
  <c r="DR70" i="1"/>
  <c r="OC70" i="1"/>
  <c r="GI70" i="1"/>
  <c r="LX70" i="1"/>
  <c r="GH70" i="1"/>
  <c r="KF70" i="1"/>
  <c r="LS70" i="1"/>
  <c r="LR70" i="1"/>
  <c r="HC70" i="1"/>
  <c r="LF70" i="1"/>
  <c r="GG70" i="1"/>
  <c r="DZ70" i="1"/>
  <c r="GF70" i="1"/>
  <c r="EA70" i="1"/>
  <c r="LE70" i="1"/>
  <c r="DY70" i="1"/>
  <c r="LD70" i="1"/>
  <c r="LC70" i="1"/>
  <c r="ED70" i="1"/>
  <c r="GE70" i="1"/>
  <c r="NR70" i="1"/>
  <c r="EC70" i="1"/>
  <c r="HD70" i="1"/>
  <c r="EB70" i="1"/>
  <c r="GB70" i="1"/>
  <c r="NF70" i="1"/>
  <c r="KE70" i="1"/>
  <c r="OB70" i="1"/>
  <c r="KD70" i="1"/>
  <c r="KC70" i="1"/>
  <c r="HY70" i="1"/>
  <c r="NE70" i="1"/>
  <c r="NC70" i="1"/>
  <c r="EG70" i="1"/>
  <c r="KB70" i="1"/>
  <c r="HX70" i="1"/>
  <c r="EH70" i="1"/>
  <c r="EF70" i="1"/>
  <c r="ND70" i="1"/>
  <c r="EU70" i="1"/>
  <c r="OL70" i="1"/>
  <c r="OQ70" i="1"/>
  <c r="OQ69" i="1" s="1"/>
  <c r="OQ68" i="1" s="1"/>
  <c r="OQ67" i="1" s="1"/>
  <c r="LP69" i="1"/>
  <c r="LP68" i="1" s="1"/>
  <c r="NM69" i="1"/>
  <c r="CX68" i="1"/>
  <c r="CW68" i="1"/>
  <c r="LQ68" i="1"/>
  <c r="JW68" i="1"/>
  <c r="HV68" i="1"/>
  <c r="GR68" i="1"/>
  <c r="HU68" i="1"/>
  <c r="JV68" i="1"/>
  <c r="LO68" i="1"/>
  <c r="DK68" i="1"/>
  <c r="GQ68" i="1"/>
  <c r="CV68" i="1"/>
  <c r="LN68" i="1"/>
  <c r="CU68" i="1"/>
  <c r="CT68" i="1"/>
  <c r="JU68" i="1"/>
  <c r="LM68" i="1"/>
  <c r="GO68" i="1"/>
  <c r="HT68" i="1"/>
  <c r="JT68" i="1"/>
  <c r="LL68" i="1"/>
  <c r="GP68" i="1"/>
  <c r="LK68" i="1"/>
  <c r="DD68" i="1"/>
  <c r="DC68" i="1"/>
  <c r="HS68" i="1"/>
  <c r="QO68" i="1"/>
  <c r="DB68" i="1"/>
  <c r="NU68" i="1"/>
  <c r="DA68" i="1"/>
  <c r="CY68" i="1"/>
  <c r="HR68" i="1"/>
  <c r="LJ68" i="1"/>
  <c r="JS68" i="1"/>
  <c r="LI68" i="1"/>
  <c r="JR68" i="1"/>
  <c r="JQ68" i="1"/>
  <c r="JP68" i="1"/>
  <c r="CZ68" i="1"/>
  <c r="NT68" i="1"/>
  <c r="NS68" i="1"/>
  <c r="HQ68" i="1"/>
  <c r="LH68" i="1"/>
  <c r="DJ68" i="1"/>
  <c r="DI68" i="1"/>
  <c r="JY68" i="1"/>
  <c r="JX68" i="1"/>
  <c r="DH68" i="1"/>
  <c r="DE68" i="1"/>
  <c r="LG68" i="1"/>
  <c r="JO68" i="1"/>
  <c r="GN68" i="1"/>
  <c r="DG68" i="1"/>
  <c r="JN68" i="1"/>
  <c r="RN68" i="1"/>
  <c r="NQ68" i="1"/>
  <c r="RM68" i="1"/>
  <c r="RL68" i="1"/>
  <c r="GM68" i="1"/>
  <c r="LU68" i="1"/>
  <c r="DF68" i="1"/>
  <c r="RJ68" i="1"/>
  <c r="RK68" i="1"/>
  <c r="RE68" i="1"/>
  <c r="RI68" i="1"/>
  <c r="RH68" i="1"/>
  <c r="RG68" i="1"/>
  <c r="RF68" i="1"/>
  <c r="RD68" i="1"/>
  <c r="DO68" i="1"/>
  <c r="DN68" i="1"/>
  <c r="LT68" i="1"/>
  <c r="DM68" i="1"/>
  <c r="DL68" i="1"/>
  <c r="RC68" i="1"/>
  <c r="RB68" i="1"/>
  <c r="RA68" i="1"/>
  <c r="QZ68" i="1"/>
  <c r="QY68" i="1"/>
  <c r="QX68" i="1"/>
  <c r="QW68" i="1"/>
  <c r="QU68" i="1"/>
  <c r="QV68" i="1"/>
  <c r="QS68" i="1"/>
  <c r="DX68" i="1"/>
  <c r="GJ68" i="1"/>
  <c r="JM68" i="1"/>
  <c r="QQ68" i="1"/>
  <c r="JL68" i="1"/>
  <c r="HP68" i="1"/>
  <c r="HO68" i="1"/>
  <c r="DW68" i="1"/>
  <c r="QR68" i="1"/>
  <c r="JK68" i="1"/>
  <c r="HN68" i="1"/>
  <c r="HM68" i="1"/>
  <c r="LW68" i="1"/>
  <c r="DV68" i="1"/>
  <c r="QP68" i="1"/>
  <c r="GL68" i="1"/>
  <c r="JJ68" i="1"/>
  <c r="JI68" i="1"/>
  <c r="DU68" i="1"/>
  <c r="LV68" i="1"/>
  <c r="GK68" i="1"/>
  <c r="JH68" i="1"/>
  <c r="JG68" i="1"/>
  <c r="JF68" i="1"/>
  <c r="DT68" i="1"/>
  <c r="JD68" i="1"/>
  <c r="DS68" i="1"/>
  <c r="JE68" i="1"/>
  <c r="DQ68" i="1"/>
  <c r="DP68" i="1"/>
  <c r="QN68" i="1"/>
  <c r="DR68" i="1"/>
  <c r="OC68" i="1"/>
  <c r="GI68" i="1"/>
  <c r="LX68" i="1"/>
  <c r="GH68" i="1"/>
  <c r="KF68" i="1"/>
  <c r="LS68" i="1"/>
  <c r="LR68" i="1"/>
  <c r="HC68" i="1"/>
  <c r="LF68" i="1"/>
  <c r="GG68" i="1"/>
  <c r="DZ68" i="1"/>
  <c r="GF68" i="1"/>
  <c r="EA68" i="1"/>
  <c r="LE68" i="1"/>
  <c r="DY68" i="1"/>
  <c r="LD68" i="1"/>
  <c r="LC68" i="1"/>
  <c r="ED68" i="1"/>
  <c r="GE68" i="1"/>
  <c r="NR68" i="1"/>
  <c r="EC68" i="1"/>
  <c r="HD68" i="1"/>
  <c r="EB68" i="1"/>
  <c r="GB68" i="1"/>
  <c r="NF68" i="1"/>
  <c r="KE68" i="1"/>
  <c r="OB68" i="1"/>
  <c r="KD68" i="1"/>
  <c r="KC68" i="1"/>
  <c r="HY68" i="1"/>
  <c r="NE68" i="1"/>
  <c r="NC68" i="1"/>
  <c r="EG68" i="1"/>
  <c r="KB68" i="1"/>
  <c r="HX68" i="1"/>
  <c r="EH68" i="1"/>
  <c r="EF68" i="1"/>
  <c r="ND68" i="1"/>
  <c r="EE68" i="1"/>
  <c r="GC68" i="1"/>
  <c r="HW68" i="1"/>
  <c r="HE68" i="1"/>
  <c r="NB68" i="1"/>
  <c r="EV68" i="1"/>
  <c r="EU68" i="1"/>
  <c r="PS68" i="1"/>
  <c r="PR68" i="1"/>
  <c r="QT68" i="1"/>
  <c r="QM68" i="1"/>
  <c r="EK68" i="1"/>
  <c r="KG68" i="1"/>
  <c r="OF68" i="1"/>
  <c r="NA68" i="1"/>
  <c r="GD68" i="1"/>
  <c r="OD68" i="1"/>
  <c r="KA68" i="1"/>
  <c r="QL68" i="1"/>
  <c r="MY68" i="1"/>
  <c r="HL68" i="1"/>
  <c r="HK68" i="1"/>
  <c r="MZ68" i="1"/>
  <c r="ET68" i="1"/>
  <c r="ES68" i="1"/>
  <c r="HJ68" i="1"/>
  <c r="HI68" i="1"/>
  <c r="ER68" i="1"/>
  <c r="MX68" i="1"/>
  <c r="EQ68" i="1"/>
  <c r="EP68" i="1"/>
  <c r="GA68" i="1"/>
  <c r="MW68" i="1"/>
  <c r="EO68" i="1"/>
  <c r="FZ68" i="1"/>
  <c r="EN68" i="1"/>
  <c r="KO68" i="1"/>
  <c r="MV68" i="1"/>
  <c r="EJ68" i="1"/>
  <c r="EI68" i="1"/>
  <c r="KN68" i="1"/>
  <c r="IF68" i="1"/>
  <c r="EM68" i="1"/>
  <c r="EL68" i="1"/>
  <c r="QK68" i="1"/>
  <c r="MU68" i="1"/>
  <c r="MT68" i="1"/>
  <c r="FY68" i="1"/>
  <c r="IE68" i="1"/>
  <c r="FX68" i="1"/>
  <c r="ID68" i="1"/>
  <c r="KM68" i="1"/>
  <c r="MS68" i="1"/>
  <c r="MR68" i="1"/>
  <c r="CS68" i="1"/>
  <c r="IC68" i="1"/>
  <c r="CQ68" i="1"/>
  <c r="KL68" i="1"/>
  <c r="CR68" i="1"/>
  <c r="MQ68" i="1"/>
  <c r="QJ68" i="1"/>
  <c r="CP68" i="1"/>
  <c r="CO68" i="1"/>
  <c r="LB68" i="1"/>
  <c r="CN68" i="1"/>
  <c r="CM68" i="1"/>
  <c r="IB68" i="1"/>
  <c r="IA68" i="1"/>
  <c r="MP68" i="1"/>
  <c r="MO68" i="1"/>
  <c r="QI68" i="1"/>
  <c r="CL68" i="1"/>
  <c r="OE68" i="1"/>
  <c r="CK68" i="1"/>
  <c r="CJ68" i="1"/>
  <c r="KK68" i="1"/>
  <c r="CI68" i="1"/>
  <c r="CH68" i="1"/>
  <c r="MN68" i="1"/>
  <c r="FA68" i="1"/>
  <c r="PN68" i="1"/>
  <c r="QH68" i="1"/>
  <c r="QG68" i="1"/>
  <c r="KJ68" i="1"/>
  <c r="FW68" i="1"/>
  <c r="KI68" i="1"/>
  <c r="FV68" i="1"/>
  <c r="CG68" i="1"/>
  <c r="KH68" i="1"/>
  <c r="CF68" i="1"/>
  <c r="II68" i="1"/>
  <c r="IH68" i="1"/>
  <c r="IG68" i="1"/>
  <c r="CE68" i="1"/>
  <c r="MM68" i="1"/>
  <c r="MK68" i="1"/>
  <c r="HZ68" i="1"/>
  <c r="PQ68" i="1"/>
  <c r="PP68" i="1"/>
  <c r="JZ68" i="1"/>
  <c r="CD68" i="1"/>
  <c r="CC68" i="1"/>
  <c r="CB68" i="1"/>
  <c r="IR68" i="1"/>
  <c r="ML68" i="1"/>
  <c r="PO68" i="1"/>
  <c r="PY68" i="1"/>
  <c r="IQ68" i="1"/>
  <c r="FU68" i="1"/>
  <c r="CA68" i="1"/>
  <c r="QF68" i="1"/>
  <c r="MJ68" i="1"/>
  <c r="QE68" i="1"/>
  <c r="PX68" i="1"/>
  <c r="IP68" i="1"/>
  <c r="BZ68" i="1"/>
  <c r="KZ68" i="1"/>
  <c r="KY68" i="1"/>
  <c r="FT68" i="1"/>
  <c r="KX68" i="1"/>
  <c r="MI68" i="1"/>
  <c r="MH68" i="1"/>
  <c r="OK68" i="1"/>
  <c r="FR68" i="1"/>
  <c r="FQ68" i="1"/>
  <c r="MG68" i="1"/>
  <c r="MF68" i="1"/>
  <c r="ME68" i="1"/>
  <c r="QA68" i="1"/>
  <c r="MD68" i="1"/>
  <c r="OJ68" i="1"/>
  <c r="LA68" i="1"/>
  <c r="BS68" i="1"/>
  <c r="PZ68" i="1"/>
  <c r="FS68" i="1"/>
  <c r="PW68" i="1"/>
  <c r="BY68" i="1"/>
  <c r="KV68" i="1"/>
  <c r="IO68" i="1"/>
  <c r="BX68" i="1"/>
  <c r="QD68" i="1"/>
  <c r="NI68" i="1"/>
  <c r="NH68" i="1"/>
  <c r="KU68" i="1"/>
  <c r="NG68" i="1"/>
  <c r="FP68" i="1"/>
  <c r="FO68" i="1"/>
  <c r="IN68" i="1"/>
  <c r="IM68" i="1"/>
  <c r="NZ68" i="1"/>
  <c r="LY68" i="1"/>
  <c r="QC68" i="1"/>
  <c r="FN68" i="1"/>
  <c r="QB68" i="1"/>
  <c r="PU68" i="1"/>
  <c r="IL68" i="1"/>
  <c r="BW68" i="1"/>
  <c r="BV68" i="1"/>
  <c r="OA68" i="1"/>
  <c r="NY68" i="1"/>
  <c r="IK68" i="1"/>
  <c r="NP68" i="1"/>
  <c r="FM68" i="1"/>
  <c r="FL68" i="1"/>
  <c r="NO68" i="1"/>
  <c r="IS68" i="1"/>
  <c r="PV68" i="1"/>
  <c r="IT68" i="1"/>
  <c r="PT68" i="1"/>
  <c r="PM68" i="1"/>
  <c r="PL68" i="1"/>
  <c r="IJ68" i="1"/>
  <c r="NL68" i="1"/>
  <c r="NM68" i="1"/>
  <c r="BU68" i="1"/>
  <c r="BT68" i="1"/>
  <c r="PK68" i="1"/>
  <c r="PJ68" i="1"/>
  <c r="IY68" i="1"/>
  <c r="IX68" i="1"/>
  <c r="BR68" i="1"/>
  <c r="NK68" i="1"/>
  <c r="NX68" i="1"/>
  <c r="NJ68" i="1"/>
  <c r="PH68" i="1"/>
  <c r="PG68" i="1"/>
  <c r="IW68" i="1"/>
  <c r="FK68" i="1"/>
  <c r="FJ68" i="1"/>
  <c r="PI68" i="1"/>
  <c r="PF68" i="1"/>
  <c r="IZ68" i="1"/>
  <c r="KT68" i="1"/>
  <c r="HF68" i="1"/>
  <c r="IV68" i="1"/>
  <c r="IU68" i="1"/>
  <c r="PE68" i="1"/>
  <c r="OG68" i="1"/>
  <c r="JC68" i="1"/>
  <c r="NN68" i="1"/>
  <c r="PC68" i="1"/>
  <c r="FB68" i="1"/>
  <c r="EZ68" i="1"/>
  <c r="PD68" i="1"/>
  <c r="BQ68" i="1"/>
  <c r="MC68" i="1"/>
  <c r="FI68" i="1"/>
  <c r="BP68" i="1"/>
  <c r="HB68" i="1"/>
  <c r="HA68" i="1"/>
  <c r="GZ68" i="1"/>
  <c r="JB68" i="1"/>
  <c r="JA68" i="1"/>
  <c r="KS68" i="1"/>
  <c r="GY68" i="1"/>
  <c r="BO68" i="1"/>
  <c r="GX68" i="1"/>
  <c r="BN68" i="1"/>
  <c r="BM68" i="1"/>
  <c r="MB68" i="1"/>
  <c r="GV68" i="1"/>
  <c r="GU68" i="1"/>
  <c r="LZ68" i="1"/>
  <c r="NW68" i="1"/>
  <c r="FH68" i="1"/>
  <c r="GT68" i="1"/>
  <c r="KR68" i="1"/>
  <c r="PA68" i="1"/>
  <c r="BL68" i="1"/>
  <c r="OZ68" i="1"/>
  <c r="GW68" i="1"/>
  <c r="OY68" i="1"/>
  <c r="ON68" i="1"/>
  <c r="FC68" i="1"/>
  <c r="OX68" i="1"/>
  <c r="OW68" i="1"/>
  <c r="FF68" i="1"/>
  <c r="NV68" i="1"/>
  <c r="KQ68" i="1"/>
  <c r="KP68" i="1"/>
  <c r="FG68" i="1"/>
  <c r="OV68" i="1"/>
  <c r="MA68" i="1"/>
  <c r="OU68" i="1"/>
  <c r="HH68" i="1"/>
  <c r="GS68" i="1"/>
  <c r="FE68" i="1"/>
  <c r="FD68" i="1"/>
  <c r="KW68" i="1"/>
  <c r="OP68" i="1"/>
  <c r="OO68" i="1"/>
  <c r="OM68" i="1"/>
  <c r="HG68" i="1"/>
  <c r="OL68" i="1"/>
  <c r="OI68" i="1"/>
  <c r="OH68" i="1"/>
  <c r="EY68" i="1"/>
  <c r="EX68" i="1"/>
  <c r="EW68" i="1"/>
  <c r="OT68" i="1"/>
  <c r="OS68" i="1"/>
  <c r="CX52" i="1"/>
  <c r="CW52" i="1"/>
  <c r="LQ52" i="1"/>
  <c r="LP52" i="1"/>
  <c r="JW52" i="1"/>
  <c r="HV52" i="1"/>
  <c r="GR52" i="1"/>
  <c r="HU52" i="1"/>
  <c r="JV52" i="1"/>
  <c r="LO52" i="1"/>
  <c r="DK52" i="1"/>
  <c r="GQ52" i="1"/>
  <c r="CV52" i="1"/>
  <c r="LN52" i="1"/>
  <c r="CU52" i="1"/>
  <c r="CT52" i="1"/>
  <c r="JU52" i="1"/>
  <c r="LM52" i="1"/>
  <c r="GO52" i="1"/>
  <c r="HT52" i="1"/>
  <c r="JT52" i="1"/>
  <c r="LL52" i="1"/>
  <c r="GP52" i="1"/>
  <c r="LK52" i="1"/>
  <c r="DD52" i="1"/>
  <c r="DC52" i="1"/>
  <c r="HS52" i="1"/>
  <c r="QO52" i="1"/>
  <c r="DB52" i="1"/>
  <c r="NU52" i="1"/>
  <c r="DA52" i="1"/>
  <c r="CY52" i="1"/>
  <c r="HR52" i="1"/>
  <c r="LJ52" i="1"/>
  <c r="JS52" i="1"/>
  <c r="LI52" i="1"/>
  <c r="JR52" i="1"/>
  <c r="JQ52" i="1"/>
  <c r="JP52" i="1"/>
  <c r="CZ52" i="1"/>
  <c r="NT52" i="1"/>
  <c r="NS52" i="1"/>
  <c r="HQ52" i="1"/>
  <c r="LH52" i="1"/>
  <c r="DJ52" i="1"/>
  <c r="DI52" i="1"/>
  <c r="JY52" i="1"/>
  <c r="JX52" i="1"/>
  <c r="DH52" i="1"/>
  <c r="DE52" i="1"/>
  <c r="LG52" i="1"/>
  <c r="JO52" i="1"/>
  <c r="GN52" i="1"/>
  <c r="DG52" i="1"/>
  <c r="JN52" i="1"/>
  <c r="RN52" i="1"/>
  <c r="NQ52" i="1"/>
  <c r="RM52" i="1"/>
  <c r="RL52" i="1"/>
  <c r="GM52" i="1"/>
  <c r="LU52" i="1"/>
  <c r="DF52" i="1"/>
  <c r="RJ52" i="1"/>
  <c r="RK52" i="1"/>
  <c r="RE52" i="1"/>
  <c r="RI52" i="1"/>
  <c r="RH52" i="1"/>
  <c r="RG52" i="1"/>
  <c r="RF52" i="1"/>
  <c r="RD52" i="1"/>
  <c r="DO52" i="1"/>
  <c r="DN52" i="1"/>
  <c r="LT52" i="1"/>
  <c r="DM52" i="1"/>
  <c r="DL52" i="1"/>
  <c r="RC52" i="1"/>
  <c r="RB52" i="1"/>
  <c r="RA52" i="1"/>
  <c r="QZ52" i="1"/>
  <c r="QY52" i="1"/>
  <c r="QX52" i="1"/>
  <c r="QW52" i="1"/>
  <c r="QU52" i="1"/>
  <c r="QV52" i="1"/>
  <c r="QS52" i="1"/>
  <c r="DX52" i="1"/>
  <c r="GJ52" i="1"/>
  <c r="JM52" i="1"/>
  <c r="QQ52" i="1"/>
  <c r="JL52" i="1"/>
  <c r="HP52" i="1"/>
  <c r="HO52" i="1"/>
  <c r="DW52" i="1"/>
  <c r="QR52" i="1"/>
  <c r="JK52" i="1"/>
  <c r="HN52" i="1"/>
  <c r="HM52" i="1"/>
  <c r="LW52" i="1"/>
  <c r="DV52" i="1"/>
  <c r="QP52" i="1"/>
  <c r="GL52" i="1"/>
  <c r="JJ52" i="1"/>
  <c r="JI52" i="1"/>
  <c r="DU52" i="1"/>
  <c r="LV52" i="1"/>
  <c r="GK52" i="1"/>
  <c r="JH52" i="1"/>
  <c r="JG52" i="1"/>
  <c r="JF52" i="1"/>
  <c r="DT52" i="1"/>
  <c r="JD52" i="1"/>
  <c r="DS52" i="1"/>
  <c r="JE52" i="1"/>
  <c r="DQ52" i="1"/>
  <c r="DP52" i="1"/>
  <c r="QN52" i="1"/>
  <c r="DR52" i="1"/>
  <c r="OC52" i="1"/>
  <c r="GI52" i="1"/>
  <c r="LX52" i="1"/>
  <c r="GH52" i="1"/>
  <c r="KF52" i="1"/>
  <c r="LS52" i="1"/>
  <c r="LR52" i="1"/>
  <c r="HC52" i="1"/>
  <c r="LF52" i="1"/>
  <c r="GG52" i="1"/>
  <c r="DZ52" i="1"/>
  <c r="GF52" i="1"/>
  <c r="EA52" i="1"/>
  <c r="LE52" i="1"/>
  <c r="DY52" i="1"/>
  <c r="LD52" i="1"/>
  <c r="LC52" i="1"/>
  <c r="ED52" i="1"/>
  <c r="GE52" i="1"/>
  <c r="NR52" i="1"/>
  <c r="EC52" i="1"/>
  <c r="HD52" i="1"/>
  <c r="EB52" i="1"/>
  <c r="GB52" i="1"/>
  <c r="NF52" i="1"/>
  <c r="KE52" i="1"/>
  <c r="OB52" i="1"/>
  <c r="KD52" i="1"/>
  <c r="KC52" i="1"/>
  <c r="HY52" i="1"/>
  <c r="NE52" i="1"/>
  <c r="NC52" i="1"/>
  <c r="EG52" i="1"/>
  <c r="KB52" i="1"/>
  <c r="HX52" i="1"/>
  <c r="EH52" i="1"/>
  <c r="EF52" i="1"/>
  <c r="ND52" i="1"/>
  <c r="EE52" i="1"/>
  <c r="GC52" i="1"/>
  <c r="HW52" i="1"/>
  <c r="HE52" i="1"/>
  <c r="NB52" i="1"/>
  <c r="EV52" i="1"/>
  <c r="EU52" i="1"/>
  <c r="PS52" i="1"/>
  <c r="PR52" i="1"/>
  <c r="QT52" i="1"/>
  <c r="QM52" i="1"/>
  <c r="EK52" i="1"/>
  <c r="KG52" i="1"/>
  <c r="OF52" i="1"/>
  <c r="NA52" i="1"/>
  <c r="GD52" i="1"/>
  <c r="OD52" i="1"/>
  <c r="KA52" i="1"/>
  <c r="QL52" i="1"/>
  <c r="MY52" i="1"/>
  <c r="HL52" i="1"/>
  <c r="HK52" i="1"/>
  <c r="MZ52" i="1"/>
  <c r="ET52" i="1"/>
  <c r="ES52" i="1"/>
  <c r="HJ52" i="1"/>
  <c r="HI52" i="1"/>
  <c r="ER52" i="1"/>
  <c r="MX52" i="1"/>
  <c r="EQ52" i="1"/>
  <c r="EP52" i="1"/>
  <c r="GA52" i="1"/>
  <c r="MW52" i="1"/>
  <c r="EO52" i="1"/>
  <c r="FZ52" i="1"/>
  <c r="EN52" i="1"/>
  <c r="KO52" i="1"/>
  <c r="MV52" i="1"/>
  <c r="EJ52" i="1"/>
  <c r="EI52" i="1"/>
  <c r="KN52" i="1"/>
  <c r="IF52" i="1"/>
  <c r="EM52" i="1"/>
  <c r="EL52" i="1"/>
  <c r="QK52" i="1"/>
  <c r="MU52" i="1"/>
  <c r="MT52" i="1"/>
  <c r="FY52" i="1"/>
  <c r="IE52" i="1"/>
  <c r="FX52" i="1"/>
  <c r="ID52" i="1"/>
  <c r="KM52" i="1"/>
  <c r="MS52" i="1"/>
  <c r="MR52" i="1"/>
  <c r="CS52" i="1"/>
  <c r="IC52" i="1"/>
  <c r="CQ52" i="1"/>
  <c r="KL52" i="1"/>
  <c r="CR52" i="1"/>
  <c r="MQ52" i="1"/>
  <c r="QJ52" i="1"/>
  <c r="CP52" i="1"/>
  <c r="CO52" i="1"/>
  <c r="LB52" i="1"/>
  <c r="CN52" i="1"/>
  <c r="CM52" i="1"/>
  <c r="IB52" i="1"/>
  <c r="IA52" i="1"/>
  <c r="MP52" i="1"/>
  <c r="MO52" i="1"/>
  <c r="QI52" i="1"/>
  <c r="CL52" i="1"/>
  <c r="OE52" i="1"/>
  <c r="CK52" i="1"/>
  <c r="CJ52" i="1"/>
  <c r="KK52" i="1"/>
  <c r="CI52" i="1"/>
  <c r="CH52" i="1"/>
  <c r="MN52" i="1"/>
  <c r="FA52" i="1"/>
  <c r="PN52" i="1"/>
  <c r="QH52" i="1"/>
  <c r="QG52" i="1"/>
  <c r="KJ52" i="1"/>
  <c r="FW52" i="1"/>
  <c r="KI52" i="1"/>
  <c r="FV52" i="1"/>
  <c r="CG52" i="1"/>
  <c r="KH52" i="1"/>
  <c r="CF52" i="1"/>
  <c r="II52" i="1"/>
  <c r="IH52" i="1"/>
  <c r="IG52" i="1"/>
  <c r="CE52" i="1"/>
  <c r="MM52" i="1"/>
  <c r="MK52" i="1"/>
  <c r="HZ52" i="1"/>
  <c r="PQ52" i="1"/>
  <c r="PP52" i="1"/>
  <c r="JZ52" i="1"/>
  <c r="CD52" i="1"/>
  <c r="CC52" i="1"/>
  <c r="CB52" i="1"/>
  <c r="IR52" i="1"/>
  <c r="ML52" i="1"/>
  <c r="PO52" i="1"/>
  <c r="PY52" i="1"/>
  <c r="IQ52" i="1"/>
  <c r="FU52" i="1"/>
  <c r="CA52" i="1"/>
  <c r="QF52" i="1"/>
  <c r="MJ52" i="1"/>
  <c r="QE52" i="1"/>
  <c r="PX52" i="1"/>
  <c r="IP52" i="1"/>
  <c r="BZ52" i="1"/>
  <c r="KZ52" i="1"/>
  <c r="KY52" i="1"/>
  <c r="FT52" i="1"/>
  <c r="KX52" i="1"/>
  <c r="MI52" i="1"/>
  <c r="MH52" i="1"/>
  <c r="OK52" i="1"/>
  <c r="FR52" i="1"/>
  <c r="FQ52" i="1"/>
  <c r="MG52" i="1"/>
  <c r="MF52" i="1"/>
  <c r="ME52" i="1"/>
  <c r="QA52" i="1"/>
  <c r="MD52" i="1"/>
  <c r="OJ52" i="1"/>
  <c r="LA52" i="1"/>
  <c r="BS52" i="1"/>
  <c r="PZ52" i="1"/>
  <c r="FS52" i="1"/>
  <c r="PW52" i="1"/>
  <c r="BY52" i="1"/>
  <c r="KV52" i="1"/>
  <c r="IO52" i="1"/>
  <c r="BX52" i="1"/>
  <c r="QD52" i="1"/>
  <c r="NI52" i="1"/>
  <c r="NH52" i="1"/>
  <c r="KU52" i="1"/>
  <c r="NG52" i="1"/>
  <c r="FP52" i="1"/>
  <c r="FO52" i="1"/>
  <c r="IN52" i="1"/>
  <c r="IM52" i="1"/>
  <c r="NZ52" i="1"/>
  <c r="LY52" i="1"/>
  <c r="QC52" i="1"/>
  <c r="FN52" i="1"/>
  <c r="QB52" i="1"/>
  <c r="PU52" i="1"/>
  <c r="IL52" i="1"/>
  <c r="BW52" i="1"/>
  <c r="BV52" i="1"/>
  <c r="OA52" i="1"/>
  <c r="NY52" i="1"/>
  <c r="IK52" i="1"/>
  <c r="NP52" i="1"/>
  <c r="FM52" i="1"/>
  <c r="FL52" i="1"/>
  <c r="NO52" i="1"/>
  <c r="IS52" i="1"/>
  <c r="PV52" i="1"/>
  <c r="IT52" i="1"/>
  <c r="PT52" i="1"/>
  <c r="PM52" i="1"/>
  <c r="PL52" i="1"/>
  <c r="IJ52" i="1"/>
  <c r="NL52" i="1"/>
  <c r="NM52" i="1"/>
  <c r="BU52" i="1"/>
  <c r="BT52" i="1"/>
  <c r="PK52" i="1"/>
  <c r="PJ52" i="1"/>
  <c r="IY52" i="1"/>
  <c r="IX52" i="1"/>
  <c r="BR52" i="1"/>
  <c r="NK52" i="1"/>
  <c r="NX52" i="1"/>
  <c r="NJ52" i="1"/>
  <c r="PH52" i="1"/>
  <c r="PG52" i="1"/>
  <c r="IW52" i="1"/>
  <c r="FK52" i="1"/>
  <c r="FJ52" i="1"/>
  <c r="PI52" i="1"/>
  <c r="PF52" i="1"/>
  <c r="IZ52" i="1"/>
  <c r="KT52" i="1"/>
  <c r="HF52" i="1"/>
  <c r="IV52" i="1"/>
  <c r="IU52" i="1"/>
  <c r="PE52" i="1"/>
  <c r="OG52" i="1"/>
  <c r="JC52" i="1"/>
  <c r="NN52" i="1"/>
  <c r="PC52" i="1"/>
  <c r="FB52" i="1"/>
  <c r="EZ52" i="1"/>
  <c r="PD52" i="1"/>
  <c r="BQ52" i="1"/>
  <c r="MC52" i="1"/>
  <c r="FI52" i="1"/>
  <c r="HB52" i="1"/>
  <c r="HA52" i="1"/>
  <c r="GZ52" i="1"/>
  <c r="JB52" i="1"/>
  <c r="JA52" i="1"/>
  <c r="KS52" i="1"/>
  <c r="GY52" i="1"/>
  <c r="BO52" i="1"/>
  <c r="GX52" i="1"/>
  <c r="BN52" i="1"/>
  <c r="BM52" i="1"/>
  <c r="MB52" i="1"/>
  <c r="GV52" i="1"/>
  <c r="GU52" i="1"/>
  <c r="LZ52" i="1"/>
  <c r="NW52" i="1"/>
  <c r="FH52" i="1"/>
  <c r="GT52" i="1"/>
  <c r="KR52" i="1"/>
  <c r="PA52" i="1"/>
  <c r="BL52" i="1"/>
  <c r="OZ52" i="1"/>
  <c r="GW52" i="1"/>
  <c r="OY52" i="1"/>
  <c r="ON52" i="1"/>
  <c r="FC52" i="1"/>
  <c r="OX52" i="1"/>
  <c r="OW52" i="1"/>
  <c r="FF52" i="1"/>
  <c r="NV52" i="1"/>
  <c r="KQ52" i="1"/>
  <c r="KP52" i="1"/>
  <c r="FG52" i="1"/>
  <c r="OV52" i="1"/>
  <c r="MA52" i="1"/>
  <c r="OU52" i="1"/>
  <c r="HH52" i="1"/>
  <c r="GS52" i="1"/>
  <c r="FE52" i="1"/>
  <c r="FD52" i="1"/>
  <c r="KW52" i="1"/>
  <c r="OP52" i="1"/>
  <c r="OO52" i="1"/>
  <c r="OM52" i="1"/>
  <c r="HG52" i="1"/>
  <c r="OL52" i="1"/>
  <c r="OI52" i="1"/>
  <c r="OH52" i="1"/>
  <c r="EY52" i="1"/>
  <c r="EX52" i="1"/>
  <c r="EW52" i="1"/>
  <c r="OT52" i="1"/>
  <c r="OS52" i="1"/>
  <c r="OR52" i="1"/>
  <c r="OQ52" i="1"/>
  <c r="DW51" i="1"/>
  <c r="DW48" i="1" s="1"/>
  <c r="JI51" i="1"/>
  <c r="JI48" i="1" s="1"/>
  <c r="DU51" i="1"/>
  <c r="LV51" i="1"/>
  <c r="JZ50" i="1"/>
  <c r="JZ48" i="1" s="1"/>
  <c r="DU49" i="1"/>
  <c r="GI49" i="1"/>
  <c r="GI48" i="1" s="1"/>
  <c r="CX48" i="1"/>
  <c r="CW48" i="1"/>
  <c r="LQ48" i="1"/>
  <c r="LP48" i="1"/>
  <c r="JW48" i="1"/>
  <c r="HV48" i="1"/>
  <c r="GR48" i="1"/>
  <c r="GR47" i="1" s="1"/>
  <c r="HU48" i="1"/>
  <c r="JV48" i="1"/>
  <c r="LO48" i="1"/>
  <c r="DK48" i="1"/>
  <c r="DK47" i="1" s="1"/>
  <c r="GQ48" i="1"/>
  <c r="CV48" i="1"/>
  <c r="LN48" i="1"/>
  <c r="CU48" i="1"/>
  <c r="CU47" i="1" s="1"/>
  <c r="CT48" i="1"/>
  <c r="JU48" i="1"/>
  <c r="LM48" i="1"/>
  <c r="GO48" i="1"/>
  <c r="GO47" i="1" s="1"/>
  <c r="HT48" i="1"/>
  <c r="JT48" i="1"/>
  <c r="LL48" i="1"/>
  <c r="GP48" i="1"/>
  <c r="GP47" i="1" s="1"/>
  <c r="LK48" i="1"/>
  <c r="DD48" i="1"/>
  <c r="DC48" i="1"/>
  <c r="HS48" i="1"/>
  <c r="HS47" i="1" s="1"/>
  <c r="QO48" i="1"/>
  <c r="DB48" i="1"/>
  <c r="NU48" i="1"/>
  <c r="DA48" i="1"/>
  <c r="DA47" i="1" s="1"/>
  <c r="CY48" i="1"/>
  <c r="HR48" i="1"/>
  <c r="LJ48" i="1"/>
  <c r="JS48" i="1"/>
  <c r="JS47" i="1" s="1"/>
  <c r="LI48" i="1"/>
  <c r="JR48" i="1"/>
  <c r="JQ48" i="1"/>
  <c r="JP48" i="1"/>
  <c r="JP47" i="1" s="1"/>
  <c r="CZ48" i="1"/>
  <c r="NT48" i="1"/>
  <c r="NS48" i="1"/>
  <c r="HQ48" i="1"/>
  <c r="HQ47" i="1" s="1"/>
  <c r="LH48" i="1"/>
  <c r="DJ48" i="1"/>
  <c r="DI48" i="1"/>
  <c r="JY48" i="1"/>
  <c r="JY47" i="1" s="1"/>
  <c r="JX48" i="1"/>
  <c r="DH48" i="1"/>
  <c r="DE48" i="1"/>
  <c r="DE47" i="1" s="1"/>
  <c r="LG48" i="1"/>
  <c r="JO48" i="1"/>
  <c r="GN48" i="1"/>
  <c r="DG48" i="1"/>
  <c r="JN48" i="1"/>
  <c r="RN48" i="1"/>
  <c r="NQ48" i="1"/>
  <c r="NQ47" i="1" s="1"/>
  <c r="RM48" i="1"/>
  <c r="RL48" i="1"/>
  <c r="GM48" i="1"/>
  <c r="LU48" i="1"/>
  <c r="LU47" i="1" s="1"/>
  <c r="DF48" i="1"/>
  <c r="RJ48" i="1"/>
  <c r="RK48" i="1"/>
  <c r="RE48" i="1"/>
  <c r="RE47" i="1" s="1"/>
  <c r="RI48" i="1"/>
  <c r="RH48" i="1"/>
  <c r="RG48" i="1"/>
  <c r="RF48" i="1"/>
  <c r="RF47" i="1" s="1"/>
  <c r="RD48" i="1"/>
  <c r="DO48" i="1"/>
  <c r="DN48" i="1"/>
  <c r="LT48" i="1"/>
  <c r="LT47" i="1" s="1"/>
  <c r="DM48" i="1"/>
  <c r="DL48" i="1"/>
  <c r="RC48" i="1"/>
  <c r="RC47" i="1" s="1"/>
  <c r="RB48" i="1"/>
  <c r="RA48" i="1"/>
  <c r="QZ48" i="1"/>
  <c r="QY48" i="1"/>
  <c r="QY47" i="1" s="1"/>
  <c r="QX48" i="1"/>
  <c r="QW48" i="1"/>
  <c r="QU48" i="1"/>
  <c r="QV48" i="1"/>
  <c r="QV47" i="1" s="1"/>
  <c r="QS48" i="1"/>
  <c r="DX48" i="1"/>
  <c r="GJ48" i="1"/>
  <c r="JM48" i="1"/>
  <c r="JM47" i="1" s="1"/>
  <c r="QQ48" i="1"/>
  <c r="JL48" i="1"/>
  <c r="HP48" i="1"/>
  <c r="HO48" i="1"/>
  <c r="HO47" i="1" s="1"/>
  <c r="QR48" i="1"/>
  <c r="JK48" i="1"/>
  <c r="HN48" i="1"/>
  <c r="HM48" i="1"/>
  <c r="LW48" i="1"/>
  <c r="DV48" i="1"/>
  <c r="QP48" i="1"/>
  <c r="GL48" i="1"/>
  <c r="JJ48" i="1"/>
  <c r="GK48" i="1"/>
  <c r="GK47" i="1" s="1"/>
  <c r="JH48" i="1"/>
  <c r="JG48" i="1"/>
  <c r="JG47" i="1" s="1"/>
  <c r="JF48" i="1"/>
  <c r="DT48" i="1"/>
  <c r="DT47" i="1" s="1"/>
  <c r="JD48" i="1"/>
  <c r="DS48" i="1"/>
  <c r="JE48" i="1"/>
  <c r="JE47" i="1" s="1"/>
  <c r="DQ48" i="1"/>
  <c r="DP48" i="1"/>
  <c r="QN48" i="1"/>
  <c r="QN47" i="1" s="1"/>
  <c r="DR48" i="1"/>
  <c r="OC48" i="1"/>
  <c r="OC47" i="1" s="1"/>
  <c r="LX48" i="1"/>
  <c r="GH48" i="1"/>
  <c r="KF48" i="1"/>
  <c r="LS48" i="1"/>
  <c r="LR48" i="1"/>
  <c r="HC48" i="1"/>
  <c r="LF48" i="1"/>
  <c r="GG48" i="1"/>
  <c r="DZ48" i="1"/>
  <c r="GF48" i="1"/>
  <c r="EA48" i="1"/>
  <c r="LE48" i="1"/>
  <c r="DY48" i="1"/>
  <c r="LD48" i="1"/>
  <c r="LC48" i="1"/>
  <c r="ED48" i="1"/>
  <c r="GE48" i="1"/>
  <c r="NR48" i="1"/>
  <c r="EC48" i="1"/>
  <c r="HD48" i="1"/>
  <c r="EB48" i="1"/>
  <c r="GB48" i="1"/>
  <c r="NF48" i="1"/>
  <c r="KE48" i="1"/>
  <c r="OB48" i="1"/>
  <c r="KD48" i="1"/>
  <c r="KC48" i="1"/>
  <c r="HY48" i="1"/>
  <c r="NE48" i="1"/>
  <c r="NC48" i="1"/>
  <c r="EG48" i="1"/>
  <c r="KB48" i="1"/>
  <c r="HX48" i="1"/>
  <c r="EH48" i="1"/>
  <c r="EF48" i="1"/>
  <c r="ND48" i="1"/>
  <c r="EE48" i="1"/>
  <c r="GC48" i="1"/>
  <c r="HW48" i="1"/>
  <c r="HE48" i="1"/>
  <c r="NB48" i="1"/>
  <c r="EV48" i="1"/>
  <c r="EU48" i="1"/>
  <c r="PS48" i="1"/>
  <c r="PR48" i="1"/>
  <c r="QT48" i="1"/>
  <c r="QM48" i="1"/>
  <c r="EK48" i="1"/>
  <c r="KG48" i="1"/>
  <c r="OF48" i="1"/>
  <c r="NA48" i="1"/>
  <c r="GD48" i="1"/>
  <c r="OD48" i="1"/>
  <c r="KA48" i="1"/>
  <c r="QL48" i="1"/>
  <c r="MY48" i="1"/>
  <c r="HL48" i="1"/>
  <c r="HK48" i="1"/>
  <c r="MZ48" i="1"/>
  <c r="ET48" i="1"/>
  <c r="ES48" i="1"/>
  <c r="HJ48" i="1"/>
  <c r="HI48" i="1"/>
  <c r="ER48" i="1"/>
  <c r="MX48" i="1"/>
  <c r="EQ48" i="1"/>
  <c r="EP48" i="1"/>
  <c r="GA48" i="1"/>
  <c r="MW48" i="1"/>
  <c r="EO48" i="1"/>
  <c r="FZ48" i="1"/>
  <c r="EN48" i="1"/>
  <c r="KO48" i="1"/>
  <c r="MV48" i="1"/>
  <c r="EJ48" i="1"/>
  <c r="EI48" i="1"/>
  <c r="KN48" i="1"/>
  <c r="IF48" i="1"/>
  <c r="EM48" i="1"/>
  <c r="EL48" i="1"/>
  <c r="QK48" i="1"/>
  <c r="MU48" i="1"/>
  <c r="MT48" i="1"/>
  <c r="FY48" i="1"/>
  <c r="IE48" i="1"/>
  <c r="FX48" i="1"/>
  <c r="ID48" i="1"/>
  <c r="KM48" i="1"/>
  <c r="MS48" i="1"/>
  <c r="MR48" i="1"/>
  <c r="CS48" i="1"/>
  <c r="IC48" i="1"/>
  <c r="CQ48" i="1"/>
  <c r="KL48" i="1"/>
  <c r="CR48" i="1"/>
  <c r="MQ48" i="1"/>
  <c r="QJ48" i="1"/>
  <c r="CP48" i="1"/>
  <c r="CO48" i="1"/>
  <c r="LB48" i="1"/>
  <c r="CN48" i="1"/>
  <c r="CM48" i="1"/>
  <c r="IB48" i="1"/>
  <c r="IA48" i="1"/>
  <c r="MP48" i="1"/>
  <c r="MO48" i="1"/>
  <c r="QI48" i="1"/>
  <c r="CL48" i="1"/>
  <c r="OE48" i="1"/>
  <c r="CK48" i="1"/>
  <c r="CJ48" i="1"/>
  <c r="KK48" i="1"/>
  <c r="CI48" i="1"/>
  <c r="CH48" i="1"/>
  <c r="MN48" i="1"/>
  <c r="FA48" i="1"/>
  <c r="PN48" i="1"/>
  <c r="QH48" i="1"/>
  <c r="QG48" i="1"/>
  <c r="KJ48" i="1"/>
  <c r="FW48" i="1"/>
  <c r="KI48" i="1"/>
  <c r="FV48" i="1"/>
  <c r="CG48" i="1"/>
  <c r="KH48" i="1"/>
  <c r="CF48" i="1"/>
  <c r="II48" i="1"/>
  <c r="IH48" i="1"/>
  <c r="IG48" i="1"/>
  <c r="CE48" i="1"/>
  <c r="MM48" i="1"/>
  <c r="MK48" i="1"/>
  <c r="HZ48" i="1"/>
  <c r="PQ48" i="1"/>
  <c r="PP48" i="1"/>
  <c r="CD48" i="1"/>
  <c r="CC48" i="1"/>
  <c r="CB48" i="1"/>
  <c r="IR48" i="1"/>
  <c r="ML48" i="1"/>
  <c r="PO48" i="1"/>
  <c r="PY48" i="1"/>
  <c r="IQ48" i="1"/>
  <c r="FU48" i="1"/>
  <c r="CA48" i="1"/>
  <c r="QF48" i="1"/>
  <c r="MJ48" i="1"/>
  <c r="QE48" i="1"/>
  <c r="PX48" i="1"/>
  <c r="IP48" i="1"/>
  <c r="BZ48" i="1"/>
  <c r="KZ48" i="1"/>
  <c r="KY48" i="1"/>
  <c r="FT48" i="1"/>
  <c r="KX48" i="1"/>
  <c r="MI48" i="1"/>
  <c r="MH48" i="1"/>
  <c r="OK48" i="1"/>
  <c r="FR48" i="1"/>
  <c r="FQ48" i="1"/>
  <c r="MG48" i="1"/>
  <c r="MF48" i="1"/>
  <c r="ME48" i="1"/>
  <c r="QA48" i="1"/>
  <c r="MD48" i="1"/>
  <c r="OJ48" i="1"/>
  <c r="LA48" i="1"/>
  <c r="BS48" i="1"/>
  <c r="PZ48" i="1"/>
  <c r="FS48" i="1"/>
  <c r="PW48" i="1"/>
  <c r="BY48" i="1"/>
  <c r="KV48" i="1"/>
  <c r="IO48" i="1"/>
  <c r="BX48" i="1"/>
  <c r="QD48" i="1"/>
  <c r="NI48" i="1"/>
  <c r="NH48" i="1"/>
  <c r="KU48" i="1"/>
  <c r="NG48" i="1"/>
  <c r="FP48" i="1"/>
  <c r="FO48" i="1"/>
  <c r="IN48" i="1"/>
  <c r="IM48" i="1"/>
  <c r="NZ48" i="1"/>
  <c r="LY48" i="1"/>
  <c r="QC48" i="1"/>
  <c r="FN48" i="1"/>
  <c r="QB48" i="1"/>
  <c r="PU48" i="1"/>
  <c r="IL48" i="1"/>
  <c r="BW48" i="1"/>
  <c r="BV48" i="1"/>
  <c r="OA48" i="1"/>
  <c r="NY48" i="1"/>
  <c r="IK48" i="1"/>
  <c r="NP48" i="1"/>
  <c r="FM48" i="1"/>
  <c r="FL48" i="1"/>
  <c r="NO48" i="1"/>
  <c r="IS48" i="1"/>
  <c r="PV48" i="1"/>
  <c r="IT48" i="1"/>
  <c r="PT48" i="1"/>
  <c r="PM48" i="1"/>
  <c r="PL48" i="1"/>
  <c r="IJ48" i="1"/>
  <c r="NL48" i="1"/>
  <c r="NM48" i="1"/>
  <c r="BU48" i="1"/>
  <c r="BT48" i="1"/>
  <c r="PK48" i="1"/>
  <c r="PJ48" i="1"/>
  <c r="IY48" i="1"/>
  <c r="IX48" i="1"/>
  <c r="BR48" i="1"/>
  <c r="NK48" i="1"/>
  <c r="NX48" i="1"/>
  <c r="NJ48" i="1"/>
  <c r="PH48" i="1"/>
  <c r="PG48" i="1"/>
  <c r="IW48" i="1"/>
  <c r="FK48" i="1"/>
  <c r="FJ48" i="1"/>
  <c r="PI48" i="1"/>
  <c r="PF48" i="1"/>
  <c r="IZ48" i="1"/>
  <c r="KT48" i="1"/>
  <c r="HF48" i="1"/>
  <c r="IV48" i="1"/>
  <c r="IU48" i="1"/>
  <c r="PE48" i="1"/>
  <c r="OG48" i="1"/>
  <c r="JC48" i="1"/>
  <c r="NN48" i="1"/>
  <c r="PC48" i="1"/>
  <c r="FB48" i="1"/>
  <c r="EZ48" i="1"/>
  <c r="PD48" i="1"/>
  <c r="BQ48" i="1"/>
  <c r="MC48" i="1"/>
  <c r="FI48" i="1"/>
  <c r="BP48" i="1"/>
  <c r="BP47" i="1" s="1"/>
  <c r="HB48" i="1"/>
  <c r="HA48" i="1"/>
  <c r="GZ48" i="1"/>
  <c r="JB48" i="1"/>
  <c r="JA48" i="1"/>
  <c r="KS48" i="1"/>
  <c r="GY48" i="1"/>
  <c r="BO48" i="1"/>
  <c r="GX48" i="1"/>
  <c r="BN48" i="1"/>
  <c r="BM48" i="1"/>
  <c r="MB48" i="1"/>
  <c r="GV48" i="1"/>
  <c r="GU48" i="1"/>
  <c r="LZ48" i="1"/>
  <c r="NW48" i="1"/>
  <c r="FH48" i="1"/>
  <c r="GT48" i="1"/>
  <c r="KR48" i="1"/>
  <c r="PA48" i="1"/>
  <c r="BL48" i="1"/>
  <c r="OZ48" i="1"/>
  <c r="GW48" i="1"/>
  <c r="OY48" i="1"/>
  <c r="ON48" i="1"/>
  <c r="FC48" i="1"/>
  <c r="OX48" i="1"/>
  <c r="OW48" i="1"/>
  <c r="FF48" i="1"/>
  <c r="NV48" i="1"/>
  <c r="KQ48" i="1"/>
  <c r="KP48" i="1"/>
  <c r="FG48" i="1"/>
  <c r="OV48" i="1"/>
  <c r="MA48" i="1"/>
  <c r="OU48" i="1"/>
  <c r="HH48" i="1"/>
  <c r="GS48" i="1"/>
  <c r="FE48" i="1"/>
  <c r="FD48" i="1"/>
  <c r="KW48" i="1"/>
  <c r="OP48" i="1"/>
  <c r="OO48" i="1"/>
  <c r="OM48" i="1"/>
  <c r="HG48" i="1"/>
  <c r="OL48" i="1"/>
  <c r="OI48" i="1"/>
  <c r="OH48" i="1"/>
  <c r="EY48" i="1"/>
  <c r="EX48" i="1"/>
  <c r="EW48" i="1"/>
  <c r="OT48" i="1"/>
  <c r="OS48" i="1"/>
  <c r="OR48" i="1"/>
  <c r="OQ48" i="1"/>
  <c r="HW46" i="1"/>
  <c r="HW45" i="1" s="1"/>
  <c r="HE46" i="1"/>
  <c r="HE45" i="1" s="1"/>
  <c r="NA46" i="1"/>
  <c r="CM46" i="1"/>
  <c r="KX46" i="1"/>
  <c r="KX45" i="1" s="1"/>
  <c r="QD46" i="1"/>
  <c r="OM46" i="1"/>
  <c r="OM45" i="1" s="1"/>
  <c r="CX45" i="1"/>
  <c r="CW45" i="1"/>
  <c r="LQ45" i="1"/>
  <c r="LP45" i="1"/>
  <c r="JW45" i="1"/>
  <c r="HV45" i="1"/>
  <c r="GR45" i="1"/>
  <c r="HU45" i="1"/>
  <c r="JV45" i="1"/>
  <c r="LO45" i="1"/>
  <c r="DK45" i="1"/>
  <c r="GQ45" i="1"/>
  <c r="CV45" i="1"/>
  <c r="LN45" i="1"/>
  <c r="CU45" i="1"/>
  <c r="CT45" i="1"/>
  <c r="JU45" i="1"/>
  <c r="LM45" i="1"/>
  <c r="GO45" i="1"/>
  <c r="HT45" i="1"/>
  <c r="JT45" i="1"/>
  <c r="LL45" i="1"/>
  <c r="GP45" i="1"/>
  <c r="LK45" i="1"/>
  <c r="DD45" i="1"/>
  <c r="DC45" i="1"/>
  <c r="HS45" i="1"/>
  <c r="QO45" i="1"/>
  <c r="DB45" i="1"/>
  <c r="NU45" i="1"/>
  <c r="DA45" i="1"/>
  <c r="CY45" i="1"/>
  <c r="HR45" i="1"/>
  <c r="LJ45" i="1"/>
  <c r="JS45" i="1"/>
  <c r="LI45" i="1"/>
  <c r="JR45" i="1"/>
  <c r="JQ45" i="1"/>
  <c r="JP45" i="1"/>
  <c r="CZ45" i="1"/>
  <c r="NT45" i="1"/>
  <c r="NS45" i="1"/>
  <c r="HQ45" i="1"/>
  <c r="LH45" i="1"/>
  <c r="DJ45" i="1"/>
  <c r="DI45" i="1"/>
  <c r="JY45" i="1"/>
  <c r="JX45" i="1"/>
  <c r="DH45" i="1"/>
  <c r="DE45" i="1"/>
  <c r="LG45" i="1"/>
  <c r="JO45" i="1"/>
  <c r="GN45" i="1"/>
  <c r="DG45" i="1"/>
  <c r="JN45" i="1"/>
  <c r="RN45" i="1"/>
  <c r="NQ45" i="1"/>
  <c r="RM45" i="1"/>
  <c r="RL45" i="1"/>
  <c r="GM45" i="1"/>
  <c r="LU45" i="1"/>
  <c r="DF45" i="1"/>
  <c r="RJ45" i="1"/>
  <c r="RK45" i="1"/>
  <c r="RE45" i="1"/>
  <c r="RI45" i="1"/>
  <c r="RH45" i="1"/>
  <c r="RG45" i="1"/>
  <c r="RF45" i="1"/>
  <c r="RD45" i="1"/>
  <c r="DO45" i="1"/>
  <c r="DN45" i="1"/>
  <c r="LT45" i="1"/>
  <c r="DM45" i="1"/>
  <c r="DL45" i="1"/>
  <c r="RC45" i="1"/>
  <c r="RB45" i="1"/>
  <c r="RA45" i="1"/>
  <c r="QZ45" i="1"/>
  <c r="QY45" i="1"/>
  <c r="QX45" i="1"/>
  <c r="QW45" i="1"/>
  <c r="QU45" i="1"/>
  <c r="QV45" i="1"/>
  <c r="QS45" i="1"/>
  <c r="DX45" i="1"/>
  <c r="GJ45" i="1"/>
  <c r="JM45" i="1"/>
  <c r="QQ45" i="1"/>
  <c r="JL45" i="1"/>
  <c r="HP45" i="1"/>
  <c r="DW45" i="1"/>
  <c r="QR45" i="1"/>
  <c r="JK45" i="1"/>
  <c r="HN45" i="1"/>
  <c r="HM45" i="1"/>
  <c r="LW45" i="1"/>
  <c r="DV45" i="1"/>
  <c r="QP45" i="1"/>
  <c r="GL45" i="1"/>
  <c r="JJ45" i="1"/>
  <c r="JI45" i="1"/>
  <c r="DU45" i="1"/>
  <c r="LV45" i="1"/>
  <c r="GK45" i="1"/>
  <c r="JH45" i="1"/>
  <c r="JG45" i="1"/>
  <c r="JF45" i="1"/>
  <c r="DT45" i="1"/>
  <c r="JD45" i="1"/>
  <c r="DS45" i="1"/>
  <c r="JE45" i="1"/>
  <c r="DQ45" i="1"/>
  <c r="DP45" i="1"/>
  <c r="QN45" i="1"/>
  <c r="DR45" i="1"/>
  <c r="OC45" i="1"/>
  <c r="GI45" i="1"/>
  <c r="LX45" i="1"/>
  <c r="GH45" i="1"/>
  <c r="LE45" i="1"/>
  <c r="DY45" i="1"/>
  <c r="LD45" i="1"/>
  <c r="LC45" i="1"/>
  <c r="ED45" i="1"/>
  <c r="GE45" i="1"/>
  <c r="NR45" i="1"/>
  <c r="EC45" i="1"/>
  <c r="HD45" i="1"/>
  <c r="EB45" i="1"/>
  <c r="GB45" i="1"/>
  <c r="NF45" i="1"/>
  <c r="KE45" i="1"/>
  <c r="OB45" i="1"/>
  <c r="KD45" i="1"/>
  <c r="KC45" i="1"/>
  <c r="HY45" i="1"/>
  <c r="NE45" i="1"/>
  <c r="NC45" i="1"/>
  <c r="EG45" i="1"/>
  <c r="KB45" i="1"/>
  <c r="HX45" i="1"/>
  <c r="EH45" i="1"/>
  <c r="EF45" i="1"/>
  <c r="ND45" i="1"/>
  <c r="EE45" i="1"/>
  <c r="GC45" i="1"/>
  <c r="NB45" i="1"/>
  <c r="EV45" i="1"/>
  <c r="EU45" i="1"/>
  <c r="PS45" i="1"/>
  <c r="PR45" i="1"/>
  <c r="QT45" i="1"/>
  <c r="QM45" i="1"/>
  <c r="EK45" i="1"/>
  <c r="KG45" i="1"/>
  <c r="OF45" i="1"/>
  <c r="NA45" i="1"/>
  <c r="GD45" i="1"/>
  <c r="OD45" i="1"/>
  <c r="KA45" i="1"/>
  <c r="QL45" i="1"/>
  <c r="MY45" i="1"/>
  <c r="HL45" i="1"/>
  <c r="HK45" i="1"/>
  <c r="MZ45" i="1"/>
  <c r="ET45" i="1"/>
  <c r="ES45" i="1"/>
  <c r="HJ45" i="1"/>
  <c r="HI45" i="1"/>
  <c r="ER45" i="1"/>
  <c r="MX45" i="1"/>
  <c r="EQ45" i="1"/>
  <c r="EP45" i="1"/>
  <c r="GA45" i="1"/>
  <c r="MW45" i="1"/>
  <c r="EO45" i="1"/>
  <c r="FZ45" i="1"/>
  <c r="EN45" i="1"/>
  <c r="KO45" i="1"/>
  <c r="MV45" i="1"/>
  <c r="EJ45" i="1"/>
  <c r="EI45" i="1"/>
  <c r="KN45" i="1"/>
  <c r="IF45" i="1"/>
  <c r="EM45" i="1"/>
  <c r="EL45" i="1"/>
  <c r="QK45" i="1"/>
  <c r="MU45" i="1"/>
  <c r="MT45" i="1"/>
  <c r="FY45" i="1"/>
  <c r="IE45" i="1"/>
  <c r="FX45" i="1"/>
  <c r="ID45" i="1"/>
  <c r="KM45" i="1"/>
  <c r="MS45" i="1"/>
  <c r="MR45" i="1"/>
  <c r="CS45" i="1"/>
  <c r="IC45" i="1"/>
  <c r="CQ45" i="1"/>
  <c r="KL45" i="1"/>
  <c r="CR45" i="1"/>
  <c r="MQ45" i="1"/>
  <c r="QJ45" i="1"/>
  <c r="CP45" i="1"/>
  <c r="CO45" i="1"/>
  <c r="LB45" i="1"/>
  <c r="CN45" i="1"/>
  <c r="CM45" i="1"/>
  <c r="IB45" i="1"/>
  <c r="IA45" i="1"/>
  <c r="MP45" i="1"/>
  <c r="MO45" i="1"/>
  <c r="QI45" i="1"/>
  <c r="CL45" i="1"/>
  <c r="OE45" i="1"/>
  <c r="CK45" i="1"/>
  <c r="CJ45" i="1"/>
  <c r="KK45" i="1"/>
  <c r="CI45" i="1"/>
  <c r="CH45" i="1"/>
  <c r="MN45" i="1"/>
  <c r="FA45" i="1"/>
  <c r="PN45" i="1"/>
  <c r="QH45" i="1"/>
  <c r="QG45" i="1"/>
  <c r="KJ45" i="1"/>
  <c r="FW45" i="1"/>
  <c r="KI45" i="1"/>
  <c r="FV45" i="1"/>
  <c r="CG45" i="1"/>
  <c r="KH45" i="1"/>
  <c r="CF45" i="1"/>
  <c r="II45" i="1"/>
  <c r="IH45" i="1"/>
  <c r="IG45" i="1"/>
  <c r="CE45" i="1"/>
  <c r="MM45" i="1"/>
  <c r="MK45" i="1"/>
  <c r="HZ45" i="1"/>
  <c r="PQ45" i="1"/>
  <c r="PP45" i="1"/>
  <c r="JZ45" i="1"/>
  <c r="CD45" i="1"/>
  <c r="CC45" i="1"/>
  <c r="CB45" i="1"/>
  <c r="IR45" i="1"/>
  <c r="ML45" i="1"/>
  <c r="PO45" i="1"/>
  <c r="PY45" i="1"/>
  <c r="IQ45" i="1"/>
  <c r="FU45" i="1"/>
  <c r="CA45" i="1"/>
  <c r="QF45" i="1"/>
  <c r="MJ45" i="1"/>
  <c r="QE45" i="1"/>
  <c r="PX45" i="1"/>
  <c r="IP45" i="1"/>
  <c r="BZ45" i="1"/>
  <c r="KZ45" i="1"/>
  <c r="KY45" i="1"/>
  <c r="FT45" i="1"/>
  <c r="MI45" i="1"/>
  <c r="MH45" i="1"/>
  <c r="OK45" i="1"/>
  <c r="FR45" i="1"/>
  <c r="FQ45" i="1"/>
  <c r="MG45" i="1"/>
  <c r="MF45" i="1"/>
  <c r="ME45" i="1"/>
  <c r="QA45" i="1"/>
  <c r="MD45" i="1"/>
  <c r="OJ45" i="1"/>
  <c r="LA45" i="1"/>
  <c r="BS45" i="1"/>
  <c r="PZ45" i="1"/>
  <c r="FS45" i="1"/>
  <c r="PW45" i="1"/>
  <c r="BY45" i="1"/>
  <c r="KV45" i="1"/>
  <c r="IO45" i="1"/>
  <c r="BX45" i="1"/>
  <c r="QD45" i="1"/>
  <c r="NI45" i="1"/>
  <c r="NH45" i="1"/>
  <c r="KU45" i="1"/>
  <c r="NG45" i="1"/>
  <c r="FP45" i="1"/>
  <c r="FO45" i="1"/>
  <c r="IN45" i="1"/>
  <c r="IM45" i="1"/>
  <c r="NZ45" i="1"/>
  <c r="LY45" i="1"/>
  <c r="QC45" i="1"/>
  <c r="FN45" i="1"/>
  <c r="QB45" i="1"/>
  <c r="PU45" i="1"/>
  <c r="IL45" i="1"/>
  <c r="BW45" i="1"/>
  <c r="BV45" i="1"/>
  <c r="OA45" i="1"/>
  <c r="NY45" i="1"/>
  <c r="IK45" i="1"/>
  <c r="NP45" i="1"/>
  <c r="FM45" i="1"/>
  <c r="FL45" i="1"/>
  <c r="NO45" i="1"/>
  <c r="IS45" i="1"/>
  <c r="PV45" i="1"/>
  <c r="IT45" i="1"/>
  <c r="PT45" i="1"/>
  <c r="PM45" i="1"/>
  <c r="PL45" i="1"/>
  <c r="IJ45" i="1"/>
  <c r="NL45" i="1"/>
  <c r="NM45" i="1"/>
  <c r="BU45" i="1"/>
  <c r="BT45" i="1"/>
  <c r="PK45" i="1"/>
  <c r="PJ45" i="1"/>
  <c r="IY45" i="1"/>
  <c r="IX45" i="1"/>
  <c r="BR45" i="1"/>
  <c r="NK45" i="1"/>
  <c r="NX45" i="1"/>
  <c r="NJ45" i="1"/>
  <c r="PH45" i="1"/>
  <c r="PG45" i="1"/>
  <c r="IW45" i="1"/>
  <c r="FK45" i="1"/>
  <c r="FJ45" i="1"/>
  <c r="PI45" i="1"/>
  <c r="PF45" i="1"/>
  <c r="IZ45" i="1"/>
  <c r="KT45" i="1"/>
  <c r="HF45" i="1"/>
  <c r="IV45" i="1"/>
  <c r="IU45" i="1"/>
  <c r="PE45" i="1"/>
  <c r="OG45" i="1"/>
  <c r="JC45" i="1"/>
  <c r="NN45" i="1"/>
  <c r="PC45" i="1"/>
  <c r="FB45" i="1"/>
  <c r="EZ45" i="1"/>
  <c r="PD45" i="1"/>
  <c r="BQ45" i="1"/>
  <c r="MC45" i="1"/>
  <c r="FI45" i="1"/>
  <c r="BP45" i="1"/>
  <c r="HB45" i="1"/>
  <c r="HA45" i="1"/>
  <c r="GZ45" i="1"/>
  <c r="JB45" i="1"/>
  <c r="JA45" i="1"/>
  <c r="KS45" i="1"/>
  <c r="GY45" i="1"/>
  <c r="BO45" i="1"/>
  <c r="GX45" i="1"/>
  <c r="BN45" i="1"/>
  <c r="BM45" i="1"/>
  <c r="MB45" i="1"/>
  <c r="GV45" i="1"/>
  <c r="GU45" i="1"/>
  <c r="LZ45" i="1"/>
  <c r="NW45" i="1"/>
  <c r="FH45" i="1"/>
  <c r="GT45" i="1"/>
  <c r="KR45" i="1"/>
  <c r="PA45" i="1"/>
  <c r="BL45" i="1"/>
  <c r="OZ45" i="1"/>
  <c r="GW45" i="1"/>
  <c r="OY45" i="1"/>
  <c r="ON45" i="1"/>
  <c r="FC45" i="1"/>
  <c r="OX45" i="1"/>
  <c r="OW45" i="1"/>
  <c r="FF45" i="1"/>
  <c r="NV45" i="1"/>
  <c r="KQ45" i="1"/>
  <c r="KP45" i="1"/>
  <c r="FG45" i="1"/>
  <c r="OV45" i="1"/>
  <c r="MA45" i="1"/>
  <c r="OU45" i="1"/>
  <c r="HH45" i="1"/>
  <c r="GS45" i="1"/>
  <c r="FE45" i="1"/>
  <c r="FD45" i="1"/>
  <c r="KW45" i="1"/>
  <c r="OP45" i="1"/>
  <c r="OO45" i="1"/>
  <c r="HG45" i="1"/>
  <c r="OL45" i="1"/>
  <c r="OI45" i="1"/>
  <c r="OH45" i="1"/>
  <c r="EY45" i="1"/>
  <c r="EX45" i="1"/>
  <c r="EW45" i="1"/>
  <c r="OT45" i="1"/>
  <c r="OS45" i="1"/>
  <c r="OR45" i="1"/>
  <c r="OQ45" i="1"/>
  <c r="CX42" i="1"/>
  <c r="CW42" i="1"/>
  <c r="LQ42" i="1"/>
  <c r="LP42" i="1"/>
  <c r="JW42" i="1"/>
  <c r="HV42" i="1"/>
  <c r="GR42" i="1"/>
  <c r="HU42" i="1"/>
  <c r="JV42" i="1"/>
  <c r="LO42" i="1"/>
  <c r="DK42" i="1"/>
  <c r="GQ42" i="1"/>
  <c r="CV42" i="1"/>
  <c r="LN42" i="1"/>
  <c r="CU42" i="1"/>
  <c r="CT42" i="1"/>
  <c r="JU42" i="1"/>
  <c r="LM42" i="1"/>
  <c r="GO42" i="1"/>
  <c r="HT42" i="1"/>
  <c r="JT42" i="1"/>
  <c r="LL42" i="1"/>
  <c r="GP42" i="1"/>
  <c r="LK42" i="1"/>
  <c r="DD42" i="1"/>
  <c r="DC42" i="1"/>
  <c r="HS42" i="1"/>
  <c r="QO42" i="1"/>
  <c r="DB42" i="1"/>
  <c r="NU42" i="1"/>
  <c r="DA42" i="1"/>
  <c r="CY42" i="1"/>
  <c r="HR42" i="1"/>
  <c r="LJ42" i="1"/>
  <c r="JS42" i="1"/>
  <c r="LI42" i="1"/>
  <c r="JR42" i="1"/>
  <c r="JQ42" i="1"/>
  <c r="JP42" i="1"/>
  <c r="CZ42" i="1"/>
  <c r="NT42" i="1"/>
  <c r="NS42" i="1"/>
  <c r="HQ42" i="1"/>
  <c r="LH42" i="1"/>
  <c r="DJ42" i="1"/>
  <c r="DI42" i="1"/>
  <c r="JY42" i="1"/>
  <c r="JX42" i="1"/>
  <c r="DH42" i="1"/>
  <c r="DE42" i="1"/>
  <c r="LG42" i="1"/>
  <c r="JO42" i="1"/>
  <c r="GN42" i="1"/>
  <c r="DG42" i="1"/>
  <c r="JN42" i="1"/>
  <c r="RN42" i="1"/>
  <c r="NQ42" i="1"/>
  <c r="RM42" i="1"/>
  <c r="RL42" i="1"/>
  <c r="GM42" i="1"/>
  <c r="LU42" i="1"/>
  <c r="DF42" i="1"/>
  <c r="RJ42" i="1"/>
  <c r="RK42" i="1"/>
  <c r="RE42" i="1"/>
  <c r="RI42" i="1"/>
  <c r="RH42" i="1"/>
  <c r="RG42" i="1"/>
  <c r="RF42" i="1"/>
  <c r="RD42" i="1"/>
  <c r="DO42" i="1"/>
  <c r="DN42" i="1"/>
  <c r="LT42" i="1"/>
  <c r="DM42" i="1"/>
  <c r="DL42" i="1"/>
  <c r="RC42" i="1"/>
  <c r="RB42" i="1"/>
  <c r="RA42" i="1"/>
  <c r="QZ42" i="1"/>
  <c r="QY42" i="1"/>
  <c r="QX42" i="1"/>
  <c r="QW42" i="1"/>
  <c r="QU42" i="1"/>
  <c r="QV42" i="1"/>
  <c r="QS42" i="1"/>
  <c r="DX42" i="1"/>
  <c r="GJ42" i="1"/>
  <c r="JM42" i="1"/>
  <c r="QQ42" i="1"/>
  <c r="JL42" i="1"/>
  <c r="HP42" i="1"/>
  <c r="DW42" i="1"/>
  <c r="QR42" i="1"/>
  <c r="JK42" i="1"/>
  <c r="HN42" i="1"/>
  <c r="HM42" i="1"/>
  <c r="LW42" i="1"/>
  <c r="DV42" i="1"/>
  <c r="QP42" i="1"/>
  <c r="GL42" i="1"/>
  <c r="JJ42" i="1"/>
  <c r="JI42" i="1"/>
  <c r="DU42" i="1"/>
  <c r="LV42" i="1"/>
  <c r="GK42" i="1"/>
  <c r="JH42" i="1"/>
  <c r="JG42" i="1"/>
  <c r="JF42" i="1"/>
  <c r="DT42" i="1"/>
  <c r="JD42" i="1"/>
  <c r="DS42" i="1"/>
  <c r="JE42" i="1"/>
  <c r="DQ42" i="1"/>
  <c r="DP42" i="1"/>
  <c r="QN42" i="1"/>
  <c r="DR42" i="1"/>
  <c r="OC42" i="1"/>
  <c r="GI42" i="1"/>
  <c r="LX42" i="1"/>
  <c r="GH42" i="1"/>
  <c r="LE42" i="1"/>
  <c r="DY42" i="1"/>
  <c r="LD42" i="1"/>
  <c r="LC42" i="1"/>
  <c r="ED42" i="1"/>
  <c r="GE42" i="1"/>
  <c r="NR42" i="1"/>
  <c r="EC42" i="1"/>
  <c r="HD42" i="1"/>
  <c r="EB42" i="1"/>
  <c r="GB42" i="1"/>
  <c r="NF42" i="1"/>
  <c r="KE42" i="1"/>
  <c r="OB42" i="1"/>
  <c r="KD42" i="1"/>
  <c r="KC42" i="1"/>
  <c r="HY42" i="1"/>
  <c r="NE42" i="1"/>
  <c r="NC42" i="1"/>
  <c r="EG42" i="1"/>
  <c r="KB42" i="1"/>
  <c r="HX42" i="1"/>
  <c r="EH42" i="1"/>
  <c r="EF42" i="1"/>
  <c r="ND42" i="1"/>
  <c r="EE42" i="1"/>
  <c r="GC42" i="1"/>
  <c r="HW42" i="1"/>
  <c r="HE42" i="1"/>
  <c r="NB42" i="1"/>
  <c r="EV42" i="1"/>
  <c r="EU42" i="1"/>
  <c r="PS42" i="1"/>
  <c r="PR42" i="1"/>
  <c r="QT42" i="1"/>
  <c r="QM42" i="1"/>
  <c r="EK42" i="1"/>
  <c r="KG42" i="1"/>
  <c r="OF42" i="1"/>
  <c r="NA42" i="1"/>
  <c r="GD42" i="1"/>
  <c r="OD42" i="1"/>
  <c r="KA42" i="1"/>
  <c r="QL42" i="1"/>
  <c r="MY42" i="1"/>
  <c r="HL42" i="1"/>
  <c r="HK42" i="1"/>
  <c r="MZ42" i="1"/>
  <c r="ET42" i="1"/>
  <c r="ES42" i="1"/>
  <c r="HJ42" i="1"/>
  <c r="HI42" i="1"/>
  <c r="ER42" i="1"/>
  <c r="MX42" i="1"/>
  <c r="EQ42" i="1"/>
  <c r="EP42" i="1"/>
  <c r="GA42" i="1"/>
  <c r="MW42" i="1"/>
  <c r="EO42" i="1"/>
  <c r="FZ42" i="1"/>
  <c r="EN42" i="1"/>
  <c r="KO42" i="1"/>
  <c r="MV42" i="1"/>
  <c r="EJ42" i="1"/>
  <c r="EI42" i="1"/>
  <c r="KN42" i="1"/>
  <c r="IF42" i="1"/>
  <c r="EM42" i="1"/>
  <c r="EL42" i="1"/>
  <c r="QK42" i="1"/>
  <c r="MU42" i="1"/>
  <c r="MT42" i="1"/>
  <c r="FY42" i="1"/>
  <c r="IE42" i="1"/>
  <c r="FX42" i="1"/>
  <c r="ID42" i="1"/>
  <c r="KM42" i="1"/>
  <c r="MS42" i="1"/>
  <c r="MR42" i="1"/>
  <c r="CS42" i="1"/>
  <c r="IC42" i="1"/>
  <c r="CQ42" i="1"/>
  <c r="KL42" i="1"/>
  <c r="CR42" i="1"/>
  <c r="MQ42" i="1"/>
  <c r="QJ42" i="1"/>
  <c r="CP42" i="1"/>
  <c r="CO42" i="1"/>
  <c r="LB42" i="1"/>
  <c r="CN42" i="1"/>
  <c r="CM42" i="1"/>
  <c r="IB42" i="1"/>
  <c r="IA42" i="1"/>
  <c r="MP42" i="1"/>
  <c r="MO42" i="1"/>
  <c r="QI42" i="1"/>
  <c r="CL42" i="1"/>
  <c r="OE42" i="1"/>
  <c r="CK42" i="1"/>
  <c r="CJ42" i="1"/>
  <c r="KK42" i="1"/>
  <c r="CI42" i="1"/>
  <c r="CH42" i="1"/>
  <c r="MN42" i="1"/>
  <c r="FA42" i="1"/>
  <c r="PN42" i="1"/>
  <c r="QH42" i="1"/>
  <c r="QG42" i="1"/>
  <c r="KJ42" i="1"/>
  <c r="FW42" i="1"/>
  <c r="KI42" i="1"/>
  <c r="FV42" i="1"/>
  <c r="CG42" i="1"/>
  <c r="KH42" i="1"/>
  <c r="CF42" i="1"/>
  <c r="II42" i="1"/>
  <c r="IH42" i="1"/>
  <c r="IG42" i="1"/>
  <c r="CE42" i="1"/>
  <c r="MM42" i="1"/>
  <c r="MK42" i="1"/>
  <c r="HZ42" i="1"/>
  <c r="PQ42" i="1"/>
  <c r="PP42" i="1"/>
  <c r="JZ42" i="1"/>
  <c r="CD42" i="1"/>
  <c r="CC42" i="1"/>
  <c r="CB42" i="1"/>
  <c r="IR42" i="1"/>
  <c r="ML42" i="1"/>
  <c r="PO42" i="1"/>
  <c r="PY42" i="1"/>
  <c r="IQ42" i="1"/>
  <c r="FU42" i="1"/>
  <c r="CA42" i="1"/>
  <c r="QF42" i="1"/>
  <c r="MJ42" i="1"/>
  <c r="QE42" i="1"/>
  <c r="PX42" i="1"/>
  <c r="IP42" i="1"/>
  <c r="BZ42" i="1"/>
  <c r="KZ42" i="1"/>
  <c r="KY42" i="1"/>
  <c r="FT42" i="1"/>
  <c r="KX42" i="1"/>
  <c r="MI42" i="1"/>
  <c r="MH42" i="1"/>
  <c r="OK42" i="1"/>
  <c r="FR42" i="1"/>
  <c r="FQ42" i="1"/>
  <c r="MG42" i="1"/>
  <c r="MF42" i="1"/>
  <c r="ME42" i="1"/>
  <c r="QA42" i="1"/>
  <c r="MD42" i="1"/>
  <c r="OJ42" i="1"/>
  <c r="LA42" i="1"/>
  <c r="BS42" i="1"/>
  <c r="PZ42" i="1"/>
  <c r="FS42" i="1"/>
  <c r="PW42" i="1"/>
  <c r="BY42" i="1"/>
  <c r="KV42" i="1"/>
  <c r="IO42" i="1"/>
  <c r="BX42" i="1"/>
  <c r="QD42" i="1"/>
  <c r="NI42" i="1"/>
  <c r="NH42" i="1"/>
  <c r="KU42" i="1"/>
  <c r="NG42" i="1"/>
  <c r="FP42" i="1"/>
  <c r="FO42" i="1"/>
  <c r="IN42" i="1"/>
  <c r="IM42" i="1"/>
  <c r="NZ42" i="1"/>
  <c r="LY42" i="1"/>
  <c r="QC42" i="1"/>
  <c r="FN42" i="1"/>
  <c r="QB42" i="1"/>
  <c r="PU42" i="1"/>
  <c r="IL42" i="1"/>
  <c r="BW42" i="1"/>
  <c r="BV42" i="1"/>
  <c r="OA42" i="1"/>
  <c r="NY42" i="1"/>
  <c r="IK42" i="1"/>
  <c r="NP42" i="1"/>
  <c r="FM42" i="1"/>
  <c r="FL42" i="1"/>
  <c r="NO42" i="1"/>
  <c r="IS42" i="1"/>
  <c r="PV42" i="1"/>
  <c r="IT42" i="1"/>
  <c r="PT42" i="1"/>
  <c r="PM42" i="1"/>
  <c r="PL42" i="1"/>
  <c r="IJ42" i="1"/>
  <c r="NL42" i="1"/>
  <c r="NM42" i="1"/>
  <c r="BU42" i="1"/>
  <c r="BT42" i="1"/>
  <c r="PK42" i="1"/>
  <c r="PJ42" i="1"/>
  <c r="IY42" i="1"/>
  <c r="IX42" i="1"/>
  <c r="BR42" i="1"/>
  <c r="NK42" i="1"/>
  <c r="NX42" i="1"/>
  <c r="NJ42" i="1"/>
  <c r="PH42" i="1"/>
  <c r="PG42" i="1"/>
  <c r="IW42" i="1"/>
  <c r="FK42" i="1"/>
  <c r="FJ42" i="1"/>
  <c r="PI42" i="1"/>
  <c r="PF42" i="1"/>
  <c r="IZ42" i="1"/>
  <c r="KT42" i="1"/>
  <c r="HF42" i="1"/>
  <c r="IV42" i="1"/>
  <c r="IU42" i="1"/>
  <c r="PE42" i="1"/>
  <c r="OG42" i="1"/>
  <c r="JC42" i="1"/>
  <c r="NN42" i="1"/>
  <c r="PC42" i="1"/>
  <c r="FB42" i="1"/>
  <c r="EZ42" i="1"/>
  <c r="PD42" i="1"/>
  <c r="BQ42" i="1"/>
  <c r="MC42" i="1"/>
  <c r="FI42" i="1"/>
  <c r="BP42" i="1"/>
  <c r="HB42" i="1"/>
  <c r="HA42" i="1"/>
  <c r="GZ42" i="1"/>
  <c r="JB42" i="1"/>
  <c r="JA42" i="1"/>
  <c r="KS42" i="1"/>
  <c r="GY42" i="1"/>
  <c r="BO42" i="1"/>
  <c r="GX42" i="1"/>
  <c r="BN42" i="1"/>
  <c r="BM42" i="1"/>
  <c r="MB42" i="1"/>
  <c r="GV42" i="1"/>
  <c r="GU42" i="1"/>
  <c r="LZ42" i="1"/>
  <c r="NW42" i="1"/>
  <c r="FH42" i="1"/>
  <c r="GT42" i="1"/>
  <c r="KR42" i="1"/>
  <c r="PA42" i="1"/>
  <c r="BL42" i="1"/>
  <c r="OZ42" i="1"/>
  <c r="GW42" i="1"/>
  <c r="OY42" i="1"/>
  <c r="ON42" i="1"/>
  <c r="FC42" i="1"/>
  <c r="OX42" i="1"/>
  <c r="OW42" i="1"/>
  <c r="FF42" i="1"/>
  <c r="NV42" i="1"/>
  <c r="KQ42" i="1"/>
  <c r="KP42" i="1"/>
  <c r="FG42" i="1"/>
  <c r="OV42" i="1"/>
  <c r="MA42" i="1"/>
  <c r="OU42" i="1"/>
  <c r="HH42" i="1"/>
  <c r="GS42" i="1"/>
  <c r="FE42" i="1"/>
  <c r="FD42" i="1"/>
  <c r="KW42" i="1"/>
  <c r="OP42" i="1"/>
  <c r="OO42" i="1"/>
  <c r="OM42" i="1"/>
  <c r="HG42" i="1"/>
  <c r="OL42" i="1"/>
  <c r="OI42" i="1"/>
  <c r="OH42" i="1"/>
  <c r="EY42" i="1"/>
  <c r="EX42" i="1"/>
  <c r="EW42" i="1"/>
  <c r="OT42" i="1"/>
  <c r="OS42" i="1"/>
  <c r="OR42" i="1"/>
  <c r="OQ42" i="1"/>
  <c r="CX40" i="1"/>
  <c r="CW40" i="1"/>
  <c r="LQ40" i="1"/>
  <c r="LP40" i="1"/>
  <c r="JW40" i="1"/>
  <c r="HV40" i="1"/>
  <c r="GR40" i="1"/>
  <c r="HU40" i="1"/>
  <c r="JV40" i="1"/>
  <c r="LO40" i="1"/>
  <c r="DK40" i="1"/>
  <c r="GQ40" i="1"/>
  <c r="CV40" i="1"/>
  <c r="LN40" i="1"/>
  <c r="CU40" i="1"/>
  <c r="CT40" i="1"/>
  <c r="JU40" i="1"/>
  <c r="LM40" i="1"/>
  <c r="GO40" i="1"/>
  <c r="HT40" i="1"/>
  <c r="JT40" i="1"/>
  <c r="LL40" i="1"/>
  <c r="GP40" i="1"/>
  <c r="LK40" i="1"/>
  <c r="DD40" i="1"/>
  <c r="DC40" i="1"/>
  <c r="HS40" i="1"/>
  <c r="QO40" i="1"/>
  <c r="DB40" i="1"/>
  <c r="NU40" i="1"/>
  <c r="DA40" i="1"/>
  <c r="CY40" i="1"/>
  <c r="HR40" i="1"/>
  <c r="LJ40" i="1"/>
  <c r="JS40" i="1"/>
  <c r="LI40" i="1"/>
  <c r="JR40" i="1"/>
  <c r="JQ40" i="1"/>
  <c r="JP40" i="1"/>
  <c r="CZ40" i="1"/>
  <c r="NT40" i="1"/>
  <c r="NS40" i="1"/>
  <c r="HQ40" i="1"/>
  <c r="LH40" i="1"/>
  <c r="DJ40" i="1"/>
  <c r="DI40" i="1"/>
  <c r="JY40" i="1"/>
  <c r="JX40" i="1"/>
  <c r="DH40" i="1"/>
  <c r="DE40" i="1"/>
  <c r="LG40" i="1"/>
  <c r="JO40" i="1"/>
  <c r="GN40" i="1"/>
  <c r="DG40" i="1"/>
  <c r="JN40" i="1"/>
  <c r="RN40" i="1"/>
  <c r="NQ40" i="1"/>
  <c r="RM40" i="1"/>
  <c r="RL40" i="1"/>
  <c r="GM40" i="1"/>
  <c r="LU40" i="1"/>
  <c r="DF40" i="1"/>
  <c r="RJ40" i="1"/>
  <c r="RK40" i="1"/>
  <c r="RE40" i="1"/>
  <c r="RI40" i="1"/>
  <c r="RH40" i="1"/>
  <c r="RG40" i="1"/>
  <c r="RF40" i="1"/>
  <c r="RD40" i="1"/>
  <c r="DO40" i="1"/>
  <c r="DN40" i="1"/>
  <c r="LT40" i="1"/>
  <c r="DM40" i="1"/>
  <c r="DL40" i="1"/>
  <c r="RC40" i="1"/>
  <c r="RB40" i="1"/>
  <c r="RA40" i="1"/>
  <c r="QZ40" i="1"/>
  <c r="QY40" i="1"/>
  <c r="QX40" i="1"/>
  <c r="QW40" i="1"/>
  <c r="QU40" i="1"/>
  <c r="QV40" i="1"/>
  <c r="QS40" i="1"/>
  <c r="DX40" i="1"/>
  <c r="GJ40" i="1"/>
  <c r="JM40" i="1"/>
  <c r="QQ40" i="1"/>
  <c r="JL40" i="1"/>
  <c r="HP40" i="1"/>
  <c r="DW40" i="1"/>
  <c r="QR40" i="1"/>
  <c r="JK40" i="1"/>
  <c r="HN40" i="1"/>
  <c r="HM40" i="1"/>
  <c r="LW40" i="1"/>
  <c r="DV40" i="1"/>
  <c r="QP40" i="1"/>
  <c r="GL40" i="1"/>
  <c r="JJ40" i="1"/>
  <c r="JI40" i="1"/>
  <c r="DU40" i="1"/>
  <c r="LV40" i="1"/>
  <c r="GK40" i="1"/>
  <c r="JH40" i="1"/>
  <c r="JG40" i="1"/>
  <c r="JF40" i="1"/>
  <c r="DT40" i="1"/>
  <c r="JD40" i="1"/>
  <c r="DS40" i="1"/>
  <c r="JE40" i="1"/>
  <c r="DQ40" i="1"/>
  <c r="DP40" i="1"/>
  <c r="QN40" i="1"/>
  <c r="DR40" i="1"/>
  <c r="OC40" i="1"/>
  <c r="GI40" i="1"/>
  <c r="LX40" i="1"/>
  <c r="GH40" i="1"/>
  <c r="LE40" i="1"/>
  <c r="DY40" i="1"/>
  <c r="LD40" i="1"/>
  <c r="LC40" i="1"/>
  <c r="ED40" i="1"/>
  <c r="GE40" i="1"/>
  <c r="NR40" i="1"/>
  <c r="EC40" i="1"/>
  <c r="HD40" i="1"/>
  <c r="EB40" i="1"/>
  <c r="GB40" i="1"/>
  <c r="NF40" i="1"/>
  <c r="KE40" i="1"/>
  <c r="OB40" i="1"/>
  <c r="KD40" i="1"/>
  <c r="KC40" i="1"/>
  <c r="HY40" i="1"/>
  <c r="NE40" i="1"/>
  <c r="NC40" i="1"/>
  <c r="EG40" i="1"/>
  <c r="KB40" i="1"/>
  <c r="HX40" i="1"/>
  <c r="EH40" i="1"/>
  <c r="EF40" i="1"/>
  <c r="ND40" i="1"/>
  <c r="EE40" i="1"/>
  <c r="GC40" i="1"/>
  <c r="HW40" i="1"/>
  <c r="HE40" i="1"/>
  <c r="NB40" i="1"/>
  <c r="EV40" i="1"/>
  <c r="EU40" i="1"/>
  <c r="PS40" i="1"/>
  <c r="PR40" i="1"/>
  <c r="QT40" i="1"/>
  <c r="QM40" i="1"/>
  <c r="EK40" i="1"/>
  <c r="KG40" i="1"/>
  <c r="OF40" i="1"/>
  <c r="NA40" i="1"/>
  <c r="GD40" i="1"/>
  <c r="OD40" i="1"/>
  <c r="KA40" i="1"/>
  <c r="QL40" i="1"/>
  <c r="MY40" i="1"/>
  <c r="HL40" i="1"/>
  <c r="HK40" i="1"/>
  <c r="MZ40" i="1"/>
  <c r="ET40" i="1"/>
  <c r="ES40" i="1"/>
  <c r="HJ40" i="1"/>
  <c r="HI40" i="1"/>
  <c r="ER40" i="1"/>
  <c r="MX40" i="1"/>
  <c r="EQ40" i="1"/>
  <c r="EP40" i="1"/>
  <c r="GA40" i="1"/>
  <c r="MW40" i="1"/>
  <c r="EO40" i="1"/>
  <c r="FZ40" i="1"/>
  <c r="EN40" i="1"/>
  <c r="KO40" i="1"/>
  <c r="MV40" i="1"/>
  <c r="EJ40" i="1"/>
  <c r="EI40" i="1"/>
  <c r="KN40" i="1"/>
  <c r="IF40" i="1"/>
  <c r="EM40" i="1"/>
  <c r="EL40" i="1"/>
  <c r="QK40" i="1"/>
  <c r="MU40" i="1"/>
  <c r="MT40" i="1"/>
  <c r="FY40" i="1"/>
  <c r="IE40" i="1"/>
  <c r="FX40" i="1"/>
  <c r="ID40" i="1"/>
  <c r="KM40" i="1"/>
  <c r="MS40" i="1"/>
  <c r="MR40" i="1"/>
  <c r="CS40" i="1"/>
  <c r="IC40" i="1"/>
  <c r="CQ40" i="1"/>
  <c r="KL40" i="1"/>
  <c r="CR40" i="1"/>
  <c r="MQ40" i="1"/>
  <c r="QJ40" i="1"/>
  <c r="CP40" i="1"/>
  <c r="CO40" i="1"/>
  <c r="LB40" i="1"/>
  <c r="CN40" i="1"/>
  <c r="CM40" i="1"/>
  <c r="IB40" i="1"/>
  <c r="IA40" i="1"/>
  <c r="MP40" i="1"/>
  <c r="MO40" i="1"/>
  <c r="QI40" i="1"/>
  <c r="CL40" i="1"/>
  <c r="OE40" i="1"/>
  <c r="CK40" i="1"/>
  <c r="CJ40" i="1"/>
  <c r="KK40" i="1"/>
  <c r="CI40" i="1"/>
  <c r="CH40" i="1"/>
  <c r="MN40" i="1"/>
  <c r="FA40" i="1"/>
  <c r="PN40" i="1"/>
  <c r="QH40" i="1"/>
  <c r="QG40" i="1"/>
  <c r="KJ40" i="1"/>
  <c r="FW40" i="1"/>
  <c r="KI40" i="1"/>
  <c r="FV40" i="1"/>
  <c r="CG40" i="1"/>
  <c r="KH40" i="1"/>
  <c r="CF40" i="1"/>
  <c r="II40" i="1"/>
  <c r="IH40" i="1"/>
  <c r="IG40" i="1"/>
  <c r="CE40" i="1"/>
  <c r="MM40" i="1"/>
  <c r="MK40" i="1"/>
  <c r="HZ40" i="1"/>
  <c r="PQ40" i="1"/>
  <c r="PP40" i="1"/>
  <c r="JZ40" i="1"/>
  <c r="CD40" i="1"/>
  <c r="CC40" i="1"/>
  <c r="CB40" i="1"/>
  <c r="IR40" i="1"/>
  <c r="ML40" i="1"/>
  <c r="PO40" i="1"/>
  <c r="PY40" i="1"/>
  <c r="IQ40" i="1"/>
  <c r="FU40" i="1"/>
  <c r="CA40" i="1"/>
  <c r="QF40" i="1"/>
  <c r="MJ40" i="1"/>
  <c r="QE40" i="1"/>
  <c r="PX40" i="1"/>
  <c r="IP40" i="1"/>
  <c r="BZ40" i="1"/>
  <c r="KZ40" i="1"/>
  <c r="KY40" i="1"/>
  <c r="FT40" i="1"/>
  <c r="KX40" i="1"/>
  <c r="MI40" i="1"/>
  <c r="MH40" i="1"/>
  <c r="OK40" i="1"/>
  <c r="FR40" i="1"/>
  <c r="FQ40" i="1"/>
  <c r="MG40" i="1"/>
  <c r="MF40" i="1"/>
  <c r="ME40" i="1"/>
  <c r="QA40" i="1"/>
  <c r="MD40" i="1"/>
  <c r="OJ40" i="1"/>
  <c r="LA40" i="1"/>
  <c r="BS40" i="1"/>
  <c r="PZ40" i="1"/>
  <c r="FS40" i="1"/>
  <c r="PW40" i="1"/>
  <c r="BY40" i="1"/>
  <c r="KV40" i="1"/>
  <c r="IO40" i="1"/>
  <c r="BX40" i="1"/>
  <c r="QD40" i="1"/>
  <c r="NI40" i="1"/>
  <c r="NH40" i="1"/>
  <c r="KU40" i="1"/>
  <c r="NG40" i="1"/>
  <c r="FP40" i="1"/>
  <c r="FO40" i="1"/>
  <c r="IN40" i="1"/>
  <c r="IM40" i="1"/>
  <c r="NZ40" i="1"/>
  <c r="LY40" i="1"/>
  <c r="QC40" i="1"/>
  <c r="FN40" i="1"/>
  <c r="QB40" i="1"/>
  <c r="PU40" i="1"/>
  <c r="IL40" i="1"/>
  <c r="BW40" i="1"/>
  <c r="BV40" i="1"/>
  <c r="OA40" i="1"/>
  <c r="NY40" i="1"/>
  <c r="IK40" i="1"/>
  <c r="NP40" i="1"/>
  <c r="FM40" i="1"/>
  <c r="FL40" i="1"/>
  <c r="NO40" i="1"/>
  <c r="IS40" i="1"/>
  <c r="PV40" i="1"/>
  <c r="IT40" i="1"/>
  <c r="PT40" i="1"/>
  <c r="PM40" i="1"/>
  <c r="PL40" i="1"/>
  <c r="IJ40" i="1"/>
  <c r="NL40" i="1"/>
  <c r="NM40" i="1"/>
  <c r="BU40" i="1"/>
  <c r="BT40" i="1"/>
  <c r="PK40" i="1"/>
  <c r="PJ40" i="1"/>
  <c r="IY40" i="1"/>
  <c r="IX40" i="1"/>
  <c r="BR40" i="1"/>
  <c r="NK40" i="1"/>
  <c r="NX40" i="1"/>
  <c r="NJ40" i="1"/>
  <c r="PH40" i="1"/>
  <c r="PG40" i="1"/>
  <c r="IW40" i="1"/>
  <c r="FK40" i="1"/>
  <c r="FJ40" i="1"/>
  <c r="PI40" i="1"/>
  <c r="PF40" i="1"/>
  <c r="IZ40" i="1"/>
  <c r="KT40" i="1"/>
  <c r="HF40" i="1"/>
  <c r="IV40" i="1"/>
  <c r="IU40" i="1"/>
  <c r="PE40" i="1"/>
  <c r="OG40" i="1"/>
  <c r="JC40" i="1"/>
  <c r="NN40" i="1"/>
  <c r="PC40" i="1"/>
  <c r="FB40" i="1"/>
  <c r="EZ40" i="1"/>
  <c r="PD40" i="1"/>
  <c r="BQ40" i="1"/>
  <c r="MC40" i="1"/>
  <c r="FI40" i="1"/>
  <c r="BP40" i="1"/>
  <c r="HB40" i="1"/>
  <c r="HA40" i="1"/>
  <c r="GZ40" i="1"/>
  <c r="JB40" i="1"/>
  <c r="JA40" i="1"/>
  <c r="KS40" i="1"/>
  <c r="GY40" i="1"/>
  <c r="BO40" i="1"/>
  <c r="GX40" i="1"/>
  <c r="BN40" i="1"/>
  <c r="BM40" i="1"/>
  <c r="MB40" i="1"/>
  <c r="GV40" i="1"/>
  <c r="GU40" i="1"/>
  <c r="LZ40" i="1"/>
  <c r="NW40" i="1"/>
  <c r="FH40" i="1"/>
  <c r="GT40" i="1"/>
  <c r="KR40" i="1"/>
  <c r="PA40" i="1"/>
  <c r="BL40" i="1"/>
  <c r="OZ40" i="1"/>
  <c r="GW40" i="1"/>
  <c r="OY40" i="1"/>
  <c r="ON40" i="1"/>
  <c r="FC40" i="1"/>
  <c r="OX40" i="1"/>
  <c r="OW40" i="1"/>
  <c r="FF40" i="1"/>
  <c r="NV40" i="1"/>
  <c r="KQ40" i="1"/>
  <c r="KP40" i="1"/>
  <c r="FG40" i="1"/>
  <c r="OV40" i="1"/>
  <c r="MA40" i="1"/>
  <c r="OU40" i="1"/>
  <c r="HH40" i="1"/>
  <c r="GS40" i="1"/>
  <c r="FE40" i="1"/>
  <c r="FD40" i="1"/>
  <c r="KW40" i="1"/>
  <c r="OP40" i="1"/>
  <c r="OO40" i="1"/>
  <c r="OM40" i="1"/>
  <c r="HG40" i="1"/>
  <c r="OL40" i="1"/>
  <c r="OI40" i="1"/>
  <c r="OH40" i="1"/>
  <c r="EY40" i="1"/>
  <c r="EX40" i="1"/>
  <c r="EW40" i="1"/>
  <c r="OT40" i="1"/>
  <c r="OS40" i="1"/>
  <c r="OR40" i="1"/>
  <c r="OQ40" i="1"/>
  <c r="CH36" i="1"/>
  <c r="CH35" i="1" s="1"/>
  <c r="JZ36" i="1"/>
  <c r="CD36" i="1"/>
  <c r="FM36" i="1"/>
  <c r="FM35" i="1" s="1"/>
  <c r="BR36" i="1"/>
  <c r="BR35" i="1" s="1"/>
  <c r="OS36" i="1"/>
  <c r="OS35" i="1" s="1"/>
  <c r="CX35" i="1"/>
  <c r="CW35" i="1"/>
  <c r="LQ35" i="1"/>
  <c r="LP35" i="1"/>
  <c r="JW35" i="1"/>
  <c r="HV35" i="1"/>
  <c r="GR35" i="1"/>
  <c r="HU35" i="1"/>
  <c r="JV35" i="1"/>
  <c r="LO35" i="1"/>
  <c r="DK35" i="1"/>
  <c r="GQ35" i="1"/>
  <c r="CV35" i="1"/>
  <c r="LN35" i="1"/>
  <c r="CU35" i="1"/>
  <c r="CT35" i="1"/>
  <c r="JU35" i="1"/>
  <c r="LM35" i="1"/>
  <c r="GO35" i="1"/>
  <c r="HT35" i="1"/>
  <c r="JT35" i="1"/>
  <c r="LL35" i="1"/>
  <c r="GP35" i="1"/>
  <c r="LK35" i="1"/>
  <c r="DD35" i="1"/>
  <c r="DC35" i="1"/>
  <c r="HS35" i="1"/>
  <c r="QO35" i="1"/>
  <c r="DB35" i="1"/>
  <c r="NU35" i="1"/>
  <c r="DA35" i="1"/>
  <c r="CY35" i="1"/>
  <c r="HR35" i="1"/>
  <c r="LJ35" i="1"/>
  <c r="JS35" i="1"/>
  <c r="LI35" i="1"/>
  <c r="JR35" i="1"/>
  <c r="JQ35" i="1"/>
  <c r="JP35" i="1"/>
  <c r="CZ35" i="1"/>
  <c r="NT35" i="1"/>
  <c r="NS35" i="1"/>
  <c r="HQ35" i="1"/>
  <c r="LH35" i="1"/>
  <c r="DJ35" i="1"/>
  <c r="DI35" i="1"/>
  <c r="JY35" i="1"/>
  <c r="JX35" i="1"/>
  <c r="DH35" i="1"/>
  <c r="DE35" i="1"/>
  <c r="LG35" i="1"/>
  <c r="JO35" i="1"/>
  <c r="GN35" i="1"/>
  <c r="DG35" i="1"/>
  <c r="JN35" i="1"/>
  <c r="RN35" i="1"/>
  <c r="NQ35" i="1"/>
  <c r="RM35" i="1"/>
  <c r="RL35" i="1"/>
  <c r="GM35" i="1"/>
  <c r="LU35" i="1"/>
  <c r="DF35" i="1"/>
  <c r="RJ35" i="1"/>
  <c r="RK35" i="1"/>
  <c r="RE35" i="1"/>
  <c r="RI35" i="1"/>
  <c r="RH35" i="1"/>
  <c r="RG35" i="1"/>
  <c r="RF35" i="1"/>
  <c r="RD35" i="1"/>
  <c r="DO35" i="1"/>
  <c r="DN35" i="1"/>
  <c r="LT35" i="1"/>
  <c r="DM35" i="1"/>
  <c r="DL35" i="1"/>
  <c r="RC35" i="1"/>
  <c r="RB35" i="1"/>
  <c r="RA35" i="1"/>
  <c r="QZ35" i="1"/>
  <c r="QY35" i="1"/>
  <c r="QX35" i="1"/>
  <c r="QW35" i="1"/>
  <c r="QU35" i="1"/>
  <c r="QV35" i="1"/>
  <c r="QS35" i="1"/>
  <c r="DX35" i="1"/>
  <c r="GJ35" i="1"/>
  <c r="JM35" i="1"/>
  <c r="QQ35" i="1"/>
  <c r="JL35" i="1"/>
  <c r="HP35" i="1"/>
  <c r="DW35" i="1"/>
  <c r="QR35" i="1"/>
  <c r="JK35" i="1"/>
  <c r="HN35" i="1"/>
  <c r="HM35" i="1"/>
  <c r="LW35" i="1"/>
  <c r="DV35" i="1"/>
  <c r="QP35" i="1"/>
  <c r="GL35" i="1"/>
  <c r="JJ35" i="1"/>
  <c r="JI35" i="1"/>
  <c r="DU35" i="1"/>
  <c r="LV35" i="1"/>
  <c r="GK35" i="1"/>
  <c r="JH35" i="1"/>
  <c r="JG35" i="1"/>
  <c r="JF35" i="1"/>
  <c r="DT35" i="1"/>
  <c r="JD35" i="1"/>
  <c r="DS35" i="1"/>
  <c r="JE35" i="1"/>
  <c r="DQ35" i="1"/>
  <c r="DP35" i="1"/>
  <c r="QN35" i="1"/>
  <c r="DR35" i="1"/>
  <c r="OC35" i="1"/>
  <c r="GI35" i="1"/>
  <c r="LX35" i="1"/>
  <c r="GH35" i="1"/>
  <c r="LE35" i="1"/>
  <c r="DY35" i="1"/>
  <c r="LD35" i="1"/>
  <c r="LC35" i="1"/>
  <c r="ED35" i="1"/>
  <c r="GE35" i="1"/>
  <c r="NR35" i="1"/>
  <c r="EC35" i="1"/>
  <c r="HD35" i="1"/>
  <c r="EB35" i="1"/>
  <c r="GB35" i="1"/>
  <c r="NF35" i="1"/>
  <c r="KE35" i="1"/>
  <c r="OB35" i="1"/>
  <c r="KD35" i="1"/>
  <c r="KC35" i="1"/>
  <c r="HY35" i="1"/>
  <c r="NE35" i="1"/>
  <c r="NC35" i="1"/>
  <c r="EG35" i="1"/>
  <c r="KB35" i="1"/>
  <c r="HX35" i="1"/>
  <c r="EH35" i="1"/>
  <c r="EF35" i="1"/>
  <c r="ND35" i="1"/>
  <c r="EE35" i="1"/>
  <c r="GC35" i="1"/>
  <c r="HW35" i="1"/>
  <c r="HE35" i="1"/>
  <c r="NB35" i="1"/>
  <c r="EV35" i="1"/>
  <c r="EU35" i="1"/>
  <c r="PS35" i="1"/>
  <c r="PR35" i="1"/>
  <c r="QT35" i="1"/>
  <c r="QM35" i="1"/>
  <c r="EK35" i="1"/>
  <c r="KG35" i="1"/>
  <c r="OF35" i="1"/>
  <c r="NA35" i="1"/>
  <c r="GD35" i="1"/>
  <c r="OD35" i="1"/>
  <c r="KA35" i="1"/>
  <c r="QL35" i="1"/>
  <c r="MY35" i="1"/>
  <c r="HL35" i="1"/>
  <c r="HK35" i="1"/>
  <c r="MZ35" i="1"/>
  <c r="ET35" i="1"/>
  <c r="ES35" i="1"/>
  <c r="HJ35" i="1"/>
  <c r="HI35" i="1"/>
  <c r="ER35" i="1"/>
  <c r="MX35" i="1"/>
  <c r="EQ35" i="1"/>
  <c r="EP35" i="1"/>
  <c r="GA35" i="1"/>
  <c r="MW35" i="1"/>
  <c r="EO35" i="1"/>
  <c r="FZ35" i="1"/>
  <c r="EN35" i="1"/>
  <c r="KO35" i="1"/>
  <c r="MV35" i="1"/>
  <c r="EJ35" i="1"/>
  <c r="EI35" i="1"/>
  <c r="KN35" i="1"/>
  <c r="IF35" i="1"/>
  <c r="EM35" i="1"/>
  <c r="EL35" i="1"/>
  <c r="QK35" i="1"/>
  <c r="MU35" i="1"/>
  <c r="MT35" i="1"/>
  <c r="FY35" i="1"/>
  <c r="IE35" i="1"/>
  <c r="FX35" i="1"/>
  <c r="ID35" i="1"/>
  <c r="KM35" i="1"/>
  <c r="MS35" i="1"/>
  <c r="MR35" i="1"/>
  <c r="CS35" i="1"/>
  <c r="IC35" i="1"/>
  <c r="CQ35" i="1"/>
  <c r="KL35" i="1"/>
  <c r="CR35" i="1"/>
  <c r="MQ35" i="1"/>
  <c r="QJ35" i="1"/>
  <c r="CP35" i="1"/>
  <c r="CO35" i="1"/>
  <c r="LB35" i="1"/>
  <c r="CN35" i="1"/>
  <c r="CM35" i="1"/>
  <c r="IB35" i="1"/>
  <c r="IA35" i="1"/>
  <c r="MP35" i="1"/>
  <c r="MO35" i="1"/>
  <c r="QI35" i="1"/>
  <c r="CL35" i="1"/>
  <c r="OE35" i="1"/>
  <c r="CK35" i="1"/>
  <c r="CJ35" i="1"/>
  <c r="KK35" i="1"/>
  <c r="CI35" i="1"/>
  <c r="MN35" i="1"/>
  <c r="FA35" i="1"/>
  <c r="PN35" i="1"/>
  <c r="QH35" i="1"/>
  <c r="QG35" i="1"/>
  <c r="KJ35" i="1"/>
  <c r="FW35" i="1"/>
  <c r="KI35" i="1"/>
  <c r="FV35" i="1"/>
  <c r="CG35" i="1"/>
  <c r="KH35" i="1"/>
  <c r="CF35" i="1"/>
  <c r="II35" i="1"/>
  <c r="IH35" i="1"/>
  <c r="IG35" i="1"/>
  <c r="CE35" i="1"/>
  <c r="MM35" i="1"/>
  <c r="MK35" i="1"/>
  <c r="HZ35" i="1"/>
  <c r="PQ35" i="1"/>
  <c r="PP35" i="1"/>
  <c r="JZ35" i="1"/>
  <c r="CD35" i="1"/>
  <c r="CC35" i="1"/>
  <c r="CB35" i="1"/>
  <c r="IR35" i="1"/>
  <c r="ML35" i="1"/>
  <c r="PO35" i="1"/>
  <c r="PY35" i="1"/>
  <c r="IQ35" i="1"/>
  <c r="FU35" i="1"/>
  <c r="CA35" i="1"/>
  <c r="QF35" i="1"/>
  <c r="MJ35" i="1"/>
  <c r="QE35" i="1"/>
  <c r="PX35" i="1"/>
  <c r="IP35" i="1"/>
  <c r="BZ35" i="1"/>
  <c r="KZ35" i="1"/>
  <c r="KY35" i="1"/>
  <c r="FT35" i="1"/>
  <c r="KX35" i="1"/>
  <c r="MI35" i="1"/>
  <c r="MH35" i="1"/>
  <c r="OK35" i="1"/>
  <c r="FR35" i="1"/>
  <c r="FQ35" i="1"/>
  <c r="MG35" i="1"/>
  <c r="MF35" i="1"/>
  <c r="ME35" i="1"/>
  <c r="QA35" i="1"/>
  <c r="MD35" i="1"/>
  <c r="OJ35" i="1"/>
  <c r="LA35" i="1"/>
  <c r="BS35" i="1"/>
  <c r="PZ35" i="1"/>
  <c r="FS35" i="1"/>
  <c r="PW35" i="1"/>
  <c r="BY35" i="1"/>
  <c r="KV35" i="1"/>
  <c r="IO35" i="1"/>
  <c r="BX35" i="1"/>
  <c r="QD35" i="1"/>
  <c r="NI35" i="1"/>
  <c r="NH35" i="1"/>
  <c r="KU35" i="1"/>
  <c r="NG35" i="1"/>
  <c r="FP35" i="1"/>
  <c r="FO35" i="1"/>
  <c r="IN35" i="1"/>
  <c r="IM35" i="1"/>
  <c r="NZ35" i="1"/>
  <c r="LY35" i="1"/>
  <c r="QC35" i="1"/>
  <c r="FN35" i="1"/>
  <c r="QB35" i="1"/>
  <c r="PU35" i="1"/>
  <c r="IL35" i="1"/>
  <c r="BW35" i="1"/>
  <c r="BV35" i="1"/>
  <c r="OA35" i="1"/>
  <c r="NY35" i="1"/>
  <c r="IK35" i="1"/>
  <c r="NP35" i="1"/>
  <c r="FL35" i="1"/>
  <c r="NO35" i="1"/>
  <c r="IS35" i="1"/>
  <c r="PV35" i="1"/>
  <c r="IT35" i="1"/>
  <c r="PT35" i="1"/>
  <c r="PM35" i="1"/>
  <c r="PL35" i="1"/>
  <c r="IJ35" i="1"/>
  <c r="NL35" i="1"/>
  <c r="NM35" i="1"/>
  <c r="BU35" i="1"/>
  <c r="BT35" i="1"/>
  <c r="PK35" i="1"/>
  <c r="PJ35" i="1"/>
  <c r="IY35" i="1"/>
  <c r="IX35" i="1"/>
  <c r="NK35" i="1"/>
  <c r="NX35" i="1"/>
  <c r="NJ35" i="1"/>
  <c r="PH35" i="1"/>
  <c r="PG35" i="1"/>
  <c r="IW35" i="1"/>
  <c r="FK35" i="1"/>
  <c r="FJ35" i="1"/>
  <c r="PI35" i="1"/>
  <c r="PF35" i="1"/>
  <c r="IZ35" i="1"/>
  <c r="KT35" i="1"/>
  <c r="HF35" i="1"/>
  <c r="IV35" i="1"/>
  <c r="IU35" i="1"/>
  <c r="PE35" i="1"/>
  <c r="OG35" i="1"/>
  <c r="JC35" i="1"/>
  <c r="NN35" i="1"/>
  <c r="PC35" i="1"/>
  <c r="FB35" i="1"/>
  <c r="EZ35" i="1"/>
  <c r="PD35" i="1"/>
  <c r="BQ35" i="1"/>
  <c r="MC35" i="1"/>
  <c r="FI35" i="1"/>
  <c r="BP35" i="1"/>
  <c r="HB35" i="1"/>
  <c r="HA35" i="1"/>
  <c r="GZ35" i="1"/>
  <c r="JB35" i="1"/>
  <c r="JA35" i="1"/>
  <c r="KS35" i="1"/>
  <c r="GY35" i="1"/>
  <c r="BO35" i="1"/>
  <c r="GX35" i="1"/>
  <c r="BN35" i="1"/>
  <c r="BM35" i="1"/>
  <c r="MB35" i="1"/>
  <c r="GV35" i="1"/>
  <c r="GU35" i="1"/>
  <c r="LZ35" i="1"/>
  <c r="NW35" i="1"/>
  <c r="FH35" i="1"/>
  <c r="GT35" i="1"/>
  <c r="KR35" i="1"/>
  <c r="PA35" i="1"/>
  <c r="BL35" i="1"/>
  <c r="OZ35" i="1"/>
  <c r="GW35" i="1"/>
  <c r="OY35" i="1"/>
  <c r="ON35" i="1"/>
  <c r="FC35" i="1"/>
  <c r="OX35" i="1"/>
  <c r="OW35" i="1"/>
  <c r="FF35" i="1"/>
  <c r="NV35" i="1"/>
  <c r="KQ35" i="1"/>
  <c r="KP35" i="1"/>
  <c r="FG35" i="1"/>
  <c r="OV35" i="1"/>
  <c r="MA35" i="1"/>
  <c r="OU35" i="1"/>
  <c r="HH35" i="1"/>
  <c r="GS35" i="1"/>
  <c r="FE35" i="1"/>
  <c r="FD35" i="1"/>
  <c r="KW35" i="1"/>
  <c r="OP35" i="1"/>
  <c r="OO35" i="1"/>
  <c r="OM35" i="1"/>
  <c r="HG35" i="1"/>
  <c r="OL35" i="1"/>
  <c r="OI35" i="1"/>
  <c r="OH35" i="1"/>
  <c r="EY35" i="1"/>
  <c r="EX35" i="1"/>
  <c r="EW35" i="1"/>
  <c r="OT35" i="1"/>
  <c r="OR35" i="1"/>
  <c r="OQ35" i="1"/>
  <c r="CX27" i="1"/>
  <c r="CX25" i="1" s="1"/>
  <c r="CW27" i="1"/>
  <c r="CW25" i="1" s="1"/>
  <c r="LP27" i="1"/>
  <c r="LP25" i="1" s="1"/>
  <c r="JW27" i="1"/>
  <c r="JW25" i="1" s="1"/>
  <c r="HS27" i="1"/>
  <c r="HS25" i="1" s="1"/>
  <c r="DA27" i="1"/>
  <c r="DA25" i="1" s="1"/>
  <c r="RG27" i="1"/>
  <c r="RG25" i="1" s="1"/>
  <c r="DM27" i="1"/>
  <c r="DM25" i="1" s="1"/>
  <c r="QS27" i="1"/>
  <c r="QS25" i="1" s="1"/>
  <c r="GJ27" i="1"/>
  <c r="GJ25" i="1" s="1"/>
  <c r="JM27" i="1"/>
  <c r="JM25" i="1" s="1"/>
  <c r="JL27" i="1"/>
  <c r="JL25" i="1" s="1"/>
  <c r="DW27" i="1"/>
  <c r="DW25" i="1" s="1"/>
  <c r="JK27" i="1"/>
  <c r="JK25" i="1" s="1"/>
  <c r="DV27" i="1"/>
  <c r="DV25" i="1" s="1"/>
  <c r="QP27" i="1"/>
  <c r="QP25" i="1" s="1"/>
  <c r="JI27" i="1"/>
  <c r="JI25" i="1" s="1"/>
  <c r="LV27" i="1"/>
  <c r="LV25" i="1" s="1"/>
  <c r="DP27" i="1"/>
  <c r="DP25" i="1" s="1"/>
  <c r="QN27" i="1"/>
  <c r="QN25" i="1" s="1"/>
  <c r="DR27" i="1"/>
  <c r="DR25" i="1" s="1"/>
  <c r="OC27" i="1"/>
  <c r="OC25" i="1" s="1"/>
  <c r="GB27" i="1"/>
  <c r="GB25" i="1" s="1"/>
  <c r="NF27" i="1"/>
  <c r="NF25" i="1" s="1"/>
  <c r="HE27" i="1"/>
  <c r="HE25" i="1" s="1"/>
  <c r="OF27" i="1"/>
  <c r="OF25" i="1" s="1"/>
  <c r="GD27" i="1"/>
  <c r="GD25" i="1" s="1"/>
  <c r="HI27" i="1"/>
  <c r="HI25" i="1" s="1"/>
  <c r="ER27" i="1"/>
  <c r="ER25" i="1" s="1"/>
  <c r="EQ27" i="1"/>
  <c r="EQ25" i="1" s="1"/>
  <c r="EI27" i="1"/>
  <c r="EI25" i="1" s="1"/>
  <c r="EL27" i="1"/>
  <c r="EL25" i="1" s="1"/>
  <c r="CS27" i="1"/>
  <c r="CS25" i="1" s="1"/>
  <c r="MQ27" i="1"/>
  <c r="MQ25" i="1" s="1"/>
  <c r="CM27" i="1"/>
  <c r="CM25" i="1" s="1"/>
  <c r="IA27" i="1"/>
  <c r="IA25" i="1" s="1"/>
  <c r="QI27" i="1"/>
  <c r="QI25" i="1" s="1"/>
  <c r="CH27" i="1"/>
  <c r="CH25" i="1" s="1"/>
  <c r="KJ27" i="1"/>
  <c r="KJ25" i="1" s="1"/>
  <c r="FV27" i="1"/>
  <c r="FV25" i="1" s="1"/>
  <c r="JZ27" i="1"/>
  <c r="JZ25" i="1" s="1"/>
  <c r="CD27" i="1"/>
  <c r="CD25" i="1" s="1"/>
  <c r="IR27" i="1"/>
  <c r="IR25" i="1" s="1"/>
  <c r="ML27" i="1"/>
  <c r="ML25" i="1" s="1"/>
  <c r="BZ27" i="1"/>
  <c r="BZ25" i="1" s="1"/>
  <c r="KX27" i="1"/>
  <c r="KX25" i="1" s="1"/>
  <c r="MH27" i="1"/>
  <c r="MH25" i="1" s="1"/>
  <c r="OJ27" i="1"/>
  <c r="OJ25" i="1" s="1"/>
  <c r="PW27" i="1"/>
  <c r="PW25" i="1" s="1"/>
  <c r="QD27" i="1"/>
  <c r="QD25" i="1" s="1"/>
  <c r="BV27" i="1"/>
  <c r="BV25" i="1" s="1"/>
  <c r="OA27" i="1"/>
  <c r="OA25" i="1" s="1"/>
  <c r="IV27" i="1"/>
  <c r="IV25" i="1" s="1"/>
  <c r="JC27" i="1"/>
  <c r="JC25" i="1" s="1"/>
  <c r="OZ27" i="1"/>
  <c r="OZ25" i="1" s="1"/>
  <c r="MA27" i="1"/>
  <c r="MA25" i="1" s="1"/>
  <c r="OM27" i="1"/>
  <c r="OM25" i="1" s="1"/>
  <c r="OL27" i="1"/>
  <c r="FT26" i="1"/>
  <c r="MF26" i="1"/>
  <c r="MF25" i="1" s="1"/>
  <c r="NX26" i="1"/>
  <c r="NX25" i="1" s="1"/>
  <c r="OL26" i="1"/>
  <c r="LQ25" i="1"/>
  <c r="HV25" i="1"/>
  <c r="GR25" i="1"/>
  <c r="HU25" i="1"/>
  <c r="JV25" i="1"/>
  <c r="LO25" i="1"/>
  <c r="DK25" i="1"/>
  <c r="GQ25" i="1"/>
  <c r="CV25" i="1"/>
  <c r="LN25" i="1"/>
  <c r="CU25" i="1"/>
  <c r="CT25" i="1"/>
  <c r="JU25" i="1"/>
  <c r="LM25" i="1"/>
  <c r="GO25" i="1"/>
  <c r="HT25" i="1"/>
  <c r="JT25" i="1"/>
  <c r="LL25" i="1"/>
  <c r="GP25" i="1"/>
  <c r="LK25" i="1"/>
  <c r="DD25" i="1"/>
  <c r="DC25" i="1"/>
  <c r="QO25" i="1"/>
  <c r="DB25" i="1"/>
  <c r="NU25" i="1"/>
  <c r="CY25" i="1"/>
  <c r="HR25" i="1"/>
  <c r="LJ25" i="1"/>
  <c r="JS25" i="1"/>
  <c r="LI25" i="1"/>
  <c r="JR25" i="1"/>
  <c r="JQ25" i="1"/>
  <c r="JP25" i="1"/>
  <c r="CZ25" i="1"/>
  <c r="NT25" i="1"/>
  <c r="NS25" i="1"/>
  <c r="HQ25" i="1"/>
  <c r="LH25" i="1"/>
  <c r="DJ25" i="1"/>
  <c r="DI25" i="1"/>
  <c r="JY25" i="1"/>
  <c r="JX25" i="1"/>
  <c r="DH25" i="1"/>
  <c r="DE25" i="1"/>
  <c r="LG25" i="1"/>
  <c r="JO25" i="1"/>
  <c r="GN25" i="1"/>
  <c r="DG25" i="1"/>
  <c r="JN25" i="1"/>
  <c r="RN25" i="1"/>
  <c r="NQ25" i="1"/>
  <c r="RM25" i="1"/>
  <c r="RL25" i="1"/>
  <c r="GM25" i="1"/>
  <c r="LU25" i="1"/>
  <c r="DF25" i="1"/>
  <c r="RJ25" i="1"/>
  <c r="RK25" i="1"/>
  <c r="RE25" i="1"/>
  <c r="RI25" i="1"/>
  <c r="RH25" i="1"/>
  <c r="RF25" i="1"/>
  <c r="RD25" i="1"/>
  <c r="DO25" i="1"/>
  <c r="DN25" i="1"/>
  <c r="LT25" i="1"/>
  <c r="DL25" i="1"/>
  <c r="RC25" i="1"/>
  <c r="RB25" i="1"/>
  <c r="RA25" i="1"/>
  <c r="QZ25" i="1"/>
  <c r="QY25" i="1"/>
  <c r="QX25" i="1"/>
  <c r="QW25" i="1"/>
  <c r="QU25" i="1"/>
  <c r="QV25" i="1"/>
  <c r="DX25" i="1"/>
  <c r="QQ25" i="1"/>
  <c r="HP25" i="1"/>
  <c r="QR25" i="1"/>
  <c r="HN25" i="1"/>
  <c r="HM25" i="1"/>
  <c r="LW25" i="1"/>
  <c r="GL25" i="1"/>
  <c r="JJ25" i="1"/>
  <c r="DU25" i="1"/>
  <c r="GK25" i="1"/>
  <c r="GI25" i="1"/>
  <c r="LX25" i="1"/>
  <c r="GH25" i="1"/>
  <c r="LE25" i="1"/>
  <c r="DY25" i="1"/>
  <c r="LD25" i="1"/>
  <c r="LC25" i="1"/>
  <c r="ED25" i="1"/>
  <c r="GE25" i="1"/>
  <c r="NR25" i="1"/>
  <c r="EC25" i="1"/>
  <c r="HD25" i="1"/>
  <c r="EB25" i="1"/>
  <c r="KE25" i="1"/>
  <c r="OB25" i="1"/>
  <c r="KD25" i="1"/>
  <c r="KC25" i="1"/>
  <c r="HY25" i="1"/>
  <c r="NE25" i="1"/>
  <c r="NC25" i="1"/>
  <c r="EG25" i="1"/>
  <c r="KB25" i="1"/>
  <c r="HX25" i="1"/>
  <c r="EH25" i="1"/>
  <c r="EF25" i="1"/>
  <c r="ND25" i="1"/>
  <c r="EE25" i="1"/>
  <c r="GC25" i="1"/>
  <c r="HW25" i="1"/>
  <c r="NB25" i="1"/>
  <c r="EV25" i="1"/>
  <c r="EU25" i="1"/>
  <c r="PS25" i="1"/>
  <c r="PR25" i="1"/>
  <c r="QT25" i="1"/>
  <c r="QM25" i="1"/>
  <c r="EK25" i="1"/>
  <c r="KG25" i="1"/>
  <c r="NA25" i="1"/>
  <c r="OD25" i="1"/>
  <c r="KA25" i="1"/>
  <c r="QL25" i="1"/>
  <c r="MY25" i="1"/>
  <c r="HL25" i="1"/>
  <c r="HK25" i="1"/>
  <c r="MZ25" i="1"/>
  <c r="ET25" i="1"/>
  <c r="ES25" i="1"/>
  <c r="HJ25" i="1"/>
  <c r="MX25" i="1"/>
  <c r="EP25" i="1"/>
  <c r="GA25" i="1"/>
  <c r="MW25" i="1"/>
  <c r="EO25" i="1"/>
  <c r="FZ25" i="1"/>
  <c r="EN25" i="1"/>
  <c r="KO25" i="1"/>
  <c r="MV25" i="1"/>
  <c r="EJ25" i="1"/>
  <c r="KN25" i="1"/>
  <c r="IF25" i="1"/>
  <c r="EM25" i="1"/>
  <c r="QK25" i="1"/>
  <c r="MU25" i="1"/>
  <c r="MT25" i="1"/>
  <c r="FY25" i="1"/>
  <c r="IE25" i="1"/>
  <c r="FX25" i="1"/>
  <c r="ID25" i="1"/>
  <c r="KM25" i="1"/>
  <c r="MS25" i="1"/>
  <c r="MR25" i="1"/>
  <c r="IC25" i="1"/>
  <c r="CQ25" i="1"/>
  <c r="KL25" i="1"/>
  <c r="CR25" i="1"/>
  <c r="QJ25" i="1"/>
  <c r="CP25" i="1"/>
  <c r="CO25" i="1"/>
  <c r="LB25" i="1"/>
  <c r="CN25" i="1"/>
  <c r="IB25" i="1"/>
  <c r="MP25" i="1"/>
  <c r="MO25" i="1"/>
  <c r="CL25" i="1"/>
  <c r="OE25" i="1"/>
  <c r="CK25" i="1"/>
  <c r="CJ25" i="1"/>
  <c r="KK25" i="1"/>
  <c r="CI25" i="1"/>
  <c r="MN25" i="1"/>
  <c r="FA25" i="1"/>
  <c r="PN25" i="1"/>
  <c r="QH25" i="1"/>
  <c r="QG25" i="1"/>
  <c r="FW25" i="1"/>
  <c r="KI25" i="1"/>
  <c r="CG25" i="1"/>
  <c r="KH25" i="1"/>
  <c r="CF25" i="1"/>
  <c r="II25" i="1"/>
  <c r="IH25" i="1"/>
  <c r="IG25" i="1"/>
  <c r="CE25" i="1"/>
  <c r="MM25" i="1"/>
  <c r="MK25" i="1"/>
  <c r="HZ25" i="1"/>
  <c r="PQ25" i="1"/>
  <c r="PP25" i="1"/>
  <c r="CC25" i="1"/>
  <c r="CB25" i="1"/>
  <c r="PO25" i="1"/>
  <c r="PY25" i="1"/>
  <c r="IQ25" i="1"/>
  <c r="FU25" i="1"/>
  <c r="CA25" i="1"/>
  <c r="QF25" i="1"/>
  <c r="MJ25" i="1"/>
  <c r="QE25" i="1"/>
  <c r="PX25" i="1"/>
  <c r="IP25" i="1"/>
  <c r="KZ25" i="1"/>
  <c r="KY25" i="1"/>
  <c r="MI25" i="1"/>
  <c r="OK25" i="1"/>
  <c r="FR25" i="1"/>
  <c r="FQ25" i="1"/>
  <c r="MG25" i="1"/>
  <c r="ME25" i="1"/>
  <c r="QA25" i="1"/>
  <c r="MD25" i="1"/>
  <c r="LA25" i="1"/>
  <c r="BS25" i="1"/>
  <c r="PZ25" i="1"/>
  <c r="FS25" i="1"/>
  <c r="BY25" i="1"/>
  <c r="KV25" i="1"/>
  <c r="IO25" i="1"/>
  <c r="BX25" i="1"/>
  <c r="NI25" i="1"/>
  <c r="NH25" i="1"/>
  <c r="KU25" i="1"/>
  <c r="NG25" i="1"/>
  <c r="FP25" i="1"/>
  <c r="FO25" i="1"/>
  <c r="IN25" i="1"/>
  <c r="IM25" i="1"/>
  <c r="NZ25" i="1"/>
  <c r="LY25" i="1"/>
  <c r="QC25" i="1"/>
  <c r="FN25" i="1"/>
  <c r="QB25" i="1"/>
  <c r="PU25" i="1"/>
  <c r="IL25" i="1"/>
  <c r="BW25" i="1"/>
  <c r="NY25" i="1"/>
  <c r="IK25" i="1"/>
  <c r="NP25" i="1"/>
  <c r="FM25" i="1"/>
  <c r="FL25" i="1"/>
  <c r="NO25" i="1"/>
  <c r="IS25" i="1"/>
  <c r="PV25" i="1"/>
  <c r="IT25" i="1"/>
  <c r="PT25" i="1"/>
  <c r="PM25" i="1"/>
  <c r="PL25" i="1"/>
  <c r="IJ25" i="1"/>
  <c r="NL25" i="1"/>
  <c r="NM25" i="1"/>
  <c r="BU25" i="1"/>
  <c r="BT25" i="1"/>
  <c r="PK25" i="1"/>
  <c r="PJ25" i="1"/>
  <c r="IY25" i="1"/>
  <c r="IX25" i="1"/>
  <c r="BR25" i="1"/>
  <c r="NK25" i="1"/>
  <c r="NJ25" i="1"/>
  <c r="PH25" i="1"/>
  <c r="PG25" i="1"/>
  <c r="IW25" i="1"/>
  <c r="FK25" i="1"/>
  <c r="FJ25" i="1"/>
  <c r="PI25" i="1"/>
  <c r="PF25" i="1"/>
  <c r="IZ25" i="1"/>
  <c r="KT25" i="1"/>
  <c r="HF25" i="1"/>
  <c r="IU25" i="1"/>
  <c r="PE25" i="1"/>
  <c r="OG25" i="1"/>
  <c r="NN25" i="1"/>
  <c r="PC25" i="1"/>
  <c r="FB25" i="1"/>
  <c r="EZ25" i="1"/>
  <c r="PD25" i="1"/>
  <c r="BQ25" i="1"/>
  <c r="MC25" i="1"/>
  <c r="FI25" i="1"/>
  <c r="BP25" i="1"/>
  <c r="HB25" i="1"/>
  <c r="HA25" i="1"/>
  <c r="GZ25" i="1"/>
  <c r="JB25" i="1"/>
  <c r="JA25" i="1"/>
  <c r="KS25" i="1"/>
  <c r="GY25" i="1"/>
  <c r="BO25" i="1"/>
  <c r="GX25" i="1"/>
  <c r="BN25" i="1"/>
  <c r="BM25" i="1"/>
  <c r="MB25" i="1"/>
  <c r="GV25" i="1"/>
  <c r="GU25" i="1"/>
  <c r="LZ25" i="1"/>
  <c r="NW25" i="1"/>
  <c r="FH25" i="1"/>
  <c r="GT25" i="1"/>
  <c r="KR25" i="1"/>
  <c r="PA25" i="1"/>
  <c r="BL25" i="1"/>
  <c r="GW25" i="1"/>
  <c r="OY25" i="1"/>
  <c r="ON25" i="1"/>
  <c r="FC25" i="1"/>
  <c r="OX25" i="1"/>
  <c r="OW25" i="1"/>
  <c r="FF25" i="1"/>
  <c r="NV25" i="1"/>
  <c r="KQ25" i="1"/>
  <c r="KP25" i="1"/>
  <c r="FG25" i="1"/>
  <c r="OV25" i="1"/>
  <c r="OU25" i="1"/>
  <c r="HH25" i="1"/>
  <c r="GS25" i="1"/>
  <c r="FE25" i="1"/>
  <c r="FD25" i="1"/>
  <c r="KW25" i="1"/>
  <c r="OP25" i="1"/>
  <c r="OO25" i="1"/>
  <c r="HG25" i="1"/>
  <c r="OI25" i="1"/>
  <c r="OH25" i="1"/>
  <c r="EY25" i="1"/>
  <c r="EX25" i="1"/>
  <c r="EW25" i="1"/>
  <c r="OT25" i="1"/>
  <c r="OS25" i="1"/>
  <c r="OR25" i="1"/>
  <c r="OQ25" i="1"/>
  <c r="JU18" i="1"/>
  <c r="JU11" i="1" s="1"/>
  <c r="HT18" i="1"/>
  <c r="QO18" i="1"/>
  <c r="QO11" i="1" s="1"/>
  <c r="JR18" i="1"/>
  <c r="JR11" i="1" s="1"/>
  <c r="HM18" i="1"/>
  <c r="GK18" i="1"/>
  <c r="GK11" i="1" s="1"/>
  <c r="DY18" i="1"/>
  <c r="DY11" i="1" s="1"/>
  <c r="EF18" i="1"/>
  <c r="EF11" i="1" s="1"/>
  <c r="GC18" i="1"/>
  <c r="GC11" i="1" s="1"/>
  <c r="EU18" i="1"/>
  <c r="EU11" i="1" s="1"/>
  <c r="ER18" i="1"/>
  <c r="ER11" i="1" s="1"/>
  <c r="EL18" i="1"/>
  <c r="EL11" i="1" s="1"/>
  <c r="CO18" i="1"/>
  <c r="CO11" i="1" s="1"/>
  <c r="QG18" i="1"/>
  <c r="QG11" i="1" s="1"/>
  <c r="CC18" i="1"/>
  <c r="CC11" i="1" s="1"/>
  <c r="KY18" i="1"/>
  <c r="KY11" i="1" s="1"/>
  <c r="FT18" i="1"/>
  <c r="FT11" i="1" s="1"/>
  <c r="PW18" i="1"/>
  <c r="OA18" i="1"/>
  <c r="OA11" i="1" s="1"/>
  <c r="NL18" i="1"/>
  <c r="NL11" i="1" s="1"/>
  <c r="NM18" i="1"/>
  <c r="NM11" i="1" s="1"/>
  <c r="NK18" i="1"/>
  <c r="NK11" i="1" s="1"/>
  <c r="JG17" i="1"/>
  <c r="JG11" i="1" s="1"/>
  <c r="DS17" i="1"/>
  <c r="DS11" i="1" s="1"/>
  <c r="HB17" i="1"/>
  <c r="HB11" i="1" s="1"/>
  <c r="KR17" i="1"/>
  <c r="KR11" i="1" s="1"/>
  <c r="DU14" i="1"/>
  <c r="CH14" i="1"/>
  <c r="CD14" i="1"/>
  <c r="IR14" i="1"/>
  <c r="IR11" i="1" s="1"/>
  <c r="QE14" i="1"/>
  <c r="QE11" i="1" s="1"/>
  <c r="KX14" i="1"/>
  <c r="KX11" i="1" s="1"/>
  <c r="PW14" i="1"/>
  <c r="FM14" i="1"/>
  <c r="FM11" i="1" s="1"/>
  <c r="IX14" i="1"/>
  <c r="IX11" i="1" s="1"/>
  <c r="BR14" i="1"/>
  <c r="PG14" i="1"/>
  <c r="PG11" i="1" s="1"/>
  <c r="BP14" i="1"/>
  <c r="BP11" i="1" s="1"/>
  <c r="KS14" i="1"/>
  <c r="KS11" i="1" s="1"/>
  <c r="FF14" i="1"/>
  <c r="FF11" i="1" s="1"/>
  <c r="OM14" i="1"/>
  <c r="OM11" i="1" s="1"/>
  <c r="OI14" i="1"/>
  <c r="OI11" i="1" s="1"/>
  <c r="OS14" i="1"/>
  <c r="CH13" i="1"/>
  <c r="CH11" i="1" s="1"/>
  <c r="CD13" i="1"/>
  <c r="CD11" i="1" s="1"/>
  <c r="BR13" i="1"/>
  <c r="OS13" i="1"/>
  <c r="DU12" i="1"/>
  <c r="D12" i="1" s="1"/>
  <c r="CX11" i="1"/>
  <c r="CW11" i="1"/>
  <c r="LQ11" i="1"/>
  <c r="LP11" i="1"/>
  <c r="JW11" i="1"/>
  <c r="HV11" i="1"/>
  <c r="GR11" i="1"/>
  <c r="HU11" i="1"/>
  <c r="JV11" i="1"/>
  <c r="LO11" i="1"/>
  <c r="DK11" i="1"/>
  <c r="GQ11" i="1"/>
  <c r="CV11" i="1"/>
  <c r="LN11" i="1"/>
  <c r="CU11" i="1"/>
  <c r="CT11" i="1"/>
  <c r="LM11" i="1"/>
  <c r="GO11" i="1"/>
  <c r="HT11" i="1"/>
  <c r="JT11" i="1"/>
  <c r="LL11" i="1"/>
  <c r="GP11" i="1"/>
  <c r="LK11" i="1"/>
  <c r="DD11" i="1"/>
  <c r="DC11" i="1"/>
  <c r="HS11" i="1"/>
  <c r="DB11" i="1"/>
  <c r="NU11" i="1"/>
  <c r="DA11" i="1"/>
  <c r="CY11" i="1"/>
  <c r="HR11" i="1"/>
  <c r="LJ11" i="1"/>
  <c r="JS11" i="1"/>
  <c r="LI11" i="1"/>
  <c r="JQ11" i="1"/>
  <c r="JP11" i="1"/>
  <c r="CZ11" i="1"/>
  <c r="NT11" i="1"/>
  <c r="NS11" i="1"/>
  <c r="HQ11" i="1"/>
  <c r="LH11" i="1"/>
  <c r="DJ11" i="1"/>
  <c r="DI11" i="1"/>
  <c r="JY11" i="1"/>
  <c r="JX11" i="1"/>
  <c r="DH11" i="1"/>
  <c r="DE11" i="1"/>
  <c r="LG11" i="1"/>
  <c r="JO11" i="1"/>
  <c r="GN11" i="1"/>
  <c r="DG11" i="1"/>
  <c r="JN11" i="1"/>
  <c r="RN11" i="1"/>
  <c r="NQ11" i="1"/>
  <c r="RM11" i="1"/>
  <c r="RL11" i="1"/>
  <c r="GM11" i="1"/>
  <c r="LU11" i="1"/>
  <c r="DF11" i="1"/>
  <c r="RJ11" i="1"/>
  <c r="RK11" i="1"/>
  <c r="RE11" i="1"/>
  <c r="RI11" i="1"/>
  <c r="RH11" i="1"/>
  <c r="RG11" i="1"/>
  <c r="RF11" i="1"/>
  <c r="RD11" i="1"/>
  <c r="DO11" i="1"/>
  <c r="DN11" i="1"/>
  <c r="LT11" i="1"/>
  <c r="DM11" i="1"/>
  <c r="DL11" i="1"/>
  <c r="RC11" i="1"/>
  <c r="RB11" i="1"/>
  <c r="RA11" i="1"/>
  <c r="QZ11" i="1"/>
  <c r="QY11" i="1"/>
  <c r="QX11" i="1"/>
  <c r="QW11" i="1"/>
  <c r="QU11" i="1"/>
  <c r="QV11" i="1"/>
  <c r="QS11" i="1"/>
  <c r="DX11" i="1"/>
  <c r="GJ11" i="1"/>
  <c r="JM11" i="1"/>
  <c r="QQ11" i="1"/>
  <c r="JL11" i="1"/>
  <c r="HP11" i="1"/>
  <c r="HO11" i="1"/>
  <c r="HO10" i="1" s="1"/>
  <c r="DW11" i="1"/>
  <c r="QR11" i="1"/>
  <c r="JK11" i="1"/>
  <c r="HN11" i="1"/>
  <c r="HM11" i="1"/>
  <c r="LW11" i="1"/>
  <c r="DV11" i="1"/>
  <c r="QP11" i="1"/>
  <c r="GL11" i="1"/>
  <c r="JJ11" i="1"/>
  <c r="JI11" i="1"/>
  <c r="LV11" i="1"/>
  <c r="JH11" i="1"/>
  <c r="JF11" i="1"/>
  <c r="DT11" i="1"/>
  <c r="JD11" i="1"/>
  <c r="JE11" i="1"/>
  <c r="DQ11" i="1"/>
  <c r="DP11" i="1"/>
  <c r="QN11" i="1"/>
  <c r="DR11" i="1"/>
  <c r="OC11" i="1"/>
  <c r="GI11" i="1"/>
  <c r="LX11" i="1"/>
  <c r="GH11" i="1"/>
  <c r="KF11" i="1"/>
  <c r="KF10" i="1" s="1"/>
  <c r="LS11" i="1"/>
  <c r="LS10" i="1" s="1"/>
  <c r="LR11" i="1"/>
  <c r="LR10" i="1" s="1"/>
  <c r="HC11" i="1"/>
  <c r="HC10" i="1" s="1"/>
  <c r="LF11" i="1"/>
  <c r="LF10" i="1" s="1"/>
  <c r="GG11" i="1"/>
  <c r="GG10" i="1" s="1"/>
  <c r="DZ11" i="1"/>
  <c r="DZ10" i="1" s="1"/>
  <c r="GF11" i="1"/>
  <c r="GF10" i="1" s="1"/>
  <c r="EA11" i="1"/>
  <c r="EA10" i="1" s="1"/>
  <c r="LE11" i="1"/>
  <c r="LD11" i="1"/>
  <c r="LC11" i="1"/>
  <c r="ED11" i="1"/>
  <c r="GE11" i="1"/>
  <c r="NR11" i="1"/>
  <c r="EC11" i="1"/>
  <c r="HD11" i="1"/>
  <c r="EB11" i="1"/>
  <c r="GB11" i="1"/>
  <c r="NF11" i="1"/>
  <c r="KE11" i="1"/>
  <c r="OB11" i="1"/>
  <c r="KD11" i="1"/>
  <c r="KC11" i="1"/>
  <c r="HY11" i="1"/>
  <c r="NE11" i="1"/>
  <c r="NC11" i="1"/>
  <c r="EG11" i="1"/>
  <c r="KB11" i="1"/>
  <c r="HX11" i="1"/>
  <c r="EH11" i="1"/>
  <c r="ND11" i="1"/>
  <c r="EE11" i="1"/>
  <c r="HW11" i="1"/>
  <c r="HE11" i="1"/>
  <c r="NB11" i="1"/>
  <c r="EV11" i="1"/>
  <c r="PS11" i="1"/>
  <c r="PR11" i="1"/>
  <c r="QT11" i="1"/>
  <c r="QM11" i="1"/>
  <c r="EK11" i="1"/>
  <c r="KG11" i="1"/>
  <c r="OF11" i="1"/>
  <c r="NA11" i="1"/>
  <c r="GD11" i="1"/>
  <c r="OD11" i="1"/>
  <c r="KA11" i="1"/>
  <c r="QL11" i="1"/>
  <c r="MY11" i="1"/>
  <c r="HL11" i="1"/>
  <c r="HK11" i="1"/>
  <c r="MZ11" i="1"/>
  <c r="ET11" i="1"/>
  <c r="ES11" i="1"/>
  <c r="HJ11" i="1"/>
  <c r="HI11" i="1"/>
  <c r="MX11" i="1"/>
  <c r="EQ11" i="1"/>
  <c r="EP11" i="1"/>
  <c r="GA11" i="1"/>
  <c r="MW11" i="1"/>
  <c r="EO11" i="1"/>
  <c r="FZ11" i="1"/>
  <c r="EN11" i="1"/>
  <c r="KO11" i="1"/>
  <c r="MV11" i="1"/>
  <c r="EJ11" i="1"/>
  <c r="EI11" i="1"/>
  <c r="KN11" i="1"/>
  <c r="IF11" i="1"/>
  <c r="EM11" i="1"/>
  <c r="QK11" i="1"/>
  <c r="MU11" i="1"/>
  <c r="MT11" i="1"/>
  <c r="FY11" i="1"/>
  <c r="IE11" i="1"/>
  <c r="FX11" i="1"/>
  <c r="ID11" i="1"/>
  <c r="KM11" i="1"/>
  <c r="MS11" i="1"/>
  <c r="MR11" i="1"/>
  <c r="CS11" i="1"/>
  <c r="IC11" i="1"/>
  <c r="CQ11" i="1"/>
  <c r="KL11" i="1"/>
  <c r="CR11" i="1"/>
  <c r="MQ11" i="1"/>
  <c r="QJ11" i="1"/>
  <c r="CP11" i="1"/>
  <c r="LB11" i="1"/>
  <c r="CN11" i="1"/>
  <c r="CM11" i="1"/>
  <c r="IB11" i="1"/>
  <c r="IA11" i="1"/>
  <c r="MP11" i="1"/>
  <c r="MO11" i="1"/>
  <c r="QI11" i="1"/>
  <c r="CL11" i="1"/>
  <c r="OE11" i="1"/>
  <c r="CK11" i="1"/>
  <c r="CJ11" i="1"/>
  <c r="KK11" i="1"/>
  <c r="CI11" i="1"/>
  <c r="MN11" i="1"/>
  <c r="FA11" i="1"/>
  <c r="PN11" i="1"/>
  <c r="QH11" i="1"/>
  <c r="KJ11" i="1"/>
  <c r="FW11" i="1"/>
  <c r="KI11" i="1"/>
  <c r="FV11" i="1"/>
  <c r="CG11" i="1"/>
  <c r="KH11" i="1"/>
  <c r="CF11" i="1"/>
  <c r="II11" i="1"/>
  <c r="IH11" i="1"/>
  <c r="IG11" i="1"/>
  <c r="CE11" i="1"/>
  <c r="MM11" i="1"/>
  <c r="MK11" i="1"/>
  <c r="HZ11" i="1"/>
  <c r="PQ11" i="1"/>
  <c r="PP11" i="1"/>
  <c r="JZ11" i="1"/>
  <c r="CB11" i="1"/>
  <c r="ML11" i="1"/>
  <c r="PO11" i="1"/>
  <c r="PY11" i="1"/>
  <c r="IQ11" i="1"/>
  <c r="FU11" i="1"/>
  <c r="CA11" i="1"/>
  <c r="QF11" i="1"/>
  <c r="MJ11" i="1"/>
  <c r="PX11" i="1"/>
  <c r="IP11" i="1"/>
  <c r="BZ11" i="1"/>
  <c r="KZ11" i="1"/>
  <c r="MI11" i="1"/>
  <c r="MH11" i="1"/>
  <c r="OK11" i="1"/>
  <c r="FR11" i="1"/>
  <c r="FQ11" i="1"/>
  <c r="MG11" i="1"/>
  <c r="MF11" i="1"/>
  <c r="ME11" i="1"/>
  <c r="QA11" i="1"/>
  <c r="MD11" i="1"/>
  <c r="OJ11" i="1"/>
  <c r="LA11" i="1"/>
  <c r="BS11" i="1"/>
  <c r="PZ11" i="1"/>
  <c r="FS11" i="1"/>
  <c r="BY11" i="1"/>
  <c r="KV11" i="1"/>
  <c r="IO11" i="1"/>
  <c r="BX11" i="1"/>
  <c r="QD11" i="1"/>
  <c r="NI11" i="1"/>
  <c r="NH11" i="1"/>
  <c r="KU11" i="1"/>
  <c r="NG11" i="1"/>
  <c r="FP11" i="1"/>
  <c r="FO11" i="1"/>
  <c r="IN11" i="1"/>
  <c r="IM11" i="1"/>
  <c r="NZ11" i="1"/>
  <c r="LY11" i="1"/>
  <c r="QC11" i="1"/>
  <c r="FN11" i="1"/>
  <c r="QB11" i="1"/>
  <c r="PU11" i="1"/>
  <c r="IL11" i="1"/>
  <c r="BW11" i="1"/>
  <c r="BV11" i="1"/>
  <c r="NY11" i="1"/>
  <c r="IK11" i="1"/>
  <c r="NP11" i="1"/>
  <c r="FL11" i="1"/>
  <c r="NO11" i="1"/>
  <c r="IS11" i="1"/>
  <c r="PV11" i="1"/>
  <c r="IT11" i="1"/>
  <c r="PT11" i="1"/>
  <c r="PM11" i="1"/>
  <c r="PL11" i="1"/>
  <c r="IJ11" i="1"/>
  <c r="BU11" i="1"/>
  <c r="BT11" i="1"/>
  <c r="PK11" i="1"/>
  <c r="PJ11" i="1"/>
  <c r="IY11" i="1"/>
  <c r="NX11" i="1"/>
  <c r="NJ11" i="1"/>
  <c r="PH11" i="1"/>
  <c r="IW11" i="1"/>
  <c r="FK11" i="1"/>
  <c r="FJ11" i="1"/>
  <c r="PI11" i="1"/>
  <c r="PF11" i="1"/>
  <c r="IZ11" i="1"/>
  <c r="KT11" i="1"/>
  <c r="HF11" i="1"/>
  <c r="IV11" i="1"/>
  <c r="IU11" i="1"/>
  <c r="PE11" i="1"/>
  <c r="OG11" i="1"/>
  <c r="JC11" i="1"/>
  <c r="NN11" i="1"/>
  <c r="PC11" i="1"/>
  <c r="FB11" i="1"/>
  <c r="EZ11" i="1"/>
  <c r="PD11" i="1"/>
  <c r="BQ11" i="1"/>
  <c r="MC11" i="1"/>
  <c r="FI11" i="1"/>
  <c r="HA11" i="1"/>
  <c r="GZ11" i="1"/>
  <c r="JB11" i="1"/>
  <c r="JA11" i="1"/>
  <c r="GY11" i="1"/>
  <c r="BO11" i="1"/>
  <c r="GX11" i="1"/>
  <c r="BN11" i="1"/>
  <c r="BM11" i="1"/>
  <c r="MB11" i="1"/>
  <c r="GV11" i="1"/>
  <c r="GU11" i="1"/>
  <c r="LZ11" i="1"/>
  <c r="NW11" i="1"/>
  <c r="FH11" i="1"/>
  <c r="GT11" i="1"/>
  <c r="PA11" i="1"/>
  <c r="BL11" i="1"/>
  <c r="OZ11" i="1"/>
  <c r="GW11" i="1"/>
  <c r="OY11" i="1"/>
  <c r="ON11" i="1"/>
  <c r="FC11" i="1"/>
  <c r="OX11" i="1"/>
  <c r="OW11" i="1"/>
  <c r="NV11" i="1"/>
  <c r="KQ11" i="1"/>
  <c r="KP11" i="1"/>
  <c r="FG11" i="1"/>
  <c r="OV11" i="1"/>
  <c r="MA11" i="1"/>
  <c r="OU11" i="1"/>
  <c r="HH11" i="1"/>
  <c r="GS11" i="1"/>
  <c r="FE11" i="1"/>
  <c r="FD11" i="1"/>
  <c r="KW11" i="1"/>
  <c r="OP11" i="1"/>
  <c r="OO11" i="1"/>
  <c r="HG11" i="1"/>
  <c r="OL11" i="1"/>
  <c r="OH11" i="1"/>
  <c r="EY11" i="1"/>
  <c r="EX11" i="1"/>
  <c r="EW11" i="1"/>
  <c r="OT11" i="1"/>
  <c r="OR11" i="1"/>
  <c r="OQ11" i="1"/>
  <c r="DU48" i="1" l="1"/>
  <c r="D75" i="1"/>
  <c r="MI67" i="1"/>
  <c r="D13" i="1"/>
  <c r="D46" i="1"/>
  <c r="FT25" i="1"/>
  <c r="D26" i="1"/>
  <c r="D51" i="1"/>
  <c r="D36" i="1"/>
  <c r="D35" i="1" s="1"/>
  <c r="D17" i="1"/>
  <c r="D45" i="1"/>
  <c r="D50" i="1"/>
  <c r="D14" i="1"/>
  <c r="D77" i="1"/>
  <c r="D70" i="1" s="1"/>
  <c r="D27" i="1"/>
  <c r="D25" i="1" s="1"/>
  <c r="D49" i="1"/>
  <c r="D48" i="1" s="1"/>
  <c r="D47" i="1" s="1"/>
  <c r="R10" i="1"/>
  <c r="D69" i="1"/>
  <c r="D68" i="1"/>
  <c r="D18" i="1"/>
  <c r="NK47" i="1"/>
  <c r="NM47" i="1"/>
  <c r="IS47" i="1"/>
  <c r="OA47" i="1"/>
  <c r="QC47" i="1"/>
  <c r="FP47" i="1"/>
  <c r="KV47" i="1"/>
  <c r="MD47" i="1"/>
  <c r="MH47" i="1"/>
  <c r="PX47" i="1"/>
  <c r="PO47" i="1"/>
  <c r="EW47" i="1"/>
  <c r="EY47" i="1"/>
  <c r="BQ47" i="1"/>
  <c r="PE47" i="1"/>
  <c r="FJ47" i="1"/>
  <c r="DR47" i="1"/>
  <c r="DP47" i="1"/>
  <c r="DQ47" i="1"/>
  <c r="DS47" i="1"/>
  <c r="JD47" i="1"/>
  <c r="JF47" i="1"/>
  <c r="JH47" i="1"/>
  <c r="HP47" i="1"/>
  <c r="QQ47" i="1"/>
  <c r="GJ47" i="1"/>
  <c r="QS47" i="1"/>
  <c r="QU47" i="1"/>
  <c r="QX47" i="1"/>
  <c r="QZ47" i="1"/>
  <c r="RB47" i="1"/>
  <c r="DM47" i="1"/>
  <c r="DN47" i="1"/>
  <c r="RD47" i="1"/>
  <c r="RG47" i="1"/>
  <c r="RI47" i="1"/>
  <c r="RK47" i="1"/>
  <c r="DF47" i="1"/>
  <c r="GM47" i="1"/>
  <c r="RM47" i="1"/>
  <c r="RN47" i="1"/>
  <c r="DG47" i="1"/>
  <c r="GN47" i="1"/>
  <c r="LG47" i="1"/>
  <c r="DH47" i="1"/>
  <c r="DI47" i="1"/>
  <c r="LH47" i="1"/>
  <c r="NS47" i="1"/>
  <c r="CZ47" i="1"/>
  <c r="JQ47" i="1"/>
  <c r="LI47" i="1"/>
  <c r="LJ47" i="1"/>
  <c r="CY47" i="1"/>
  <c r="NU47" i="1"/>
  <c r="QO47" i="1"/>
  <c r="DC47" i="1"/>
  <c r="LK47" i="1"/>
  <c r="LL47" i="1"/>
  <c r="HT47" i="1"/>
  <c r="LM47" i="1"/>
  <c r="CT47" i="1"/>
  <c r="LN47" i="1"/>
  <c r="GQ47" i="1"/>
  <c r="LO47" i="1"/>
  <c r="HU47" i="1"/>
  <c r="HV47" i="1"/>
  <c r="LP47" i="1"/>
  <c r="CW47" i="1"/>
  <c r="DW47" i="1"/>
  <c r="KX70" i="1"/>
  <c r="PB47" i="1"/>
  <c r="PB67" i="1"/>
  <c r="PB10" i="1"/>
  <c r="HC67" i="1"/>
  <c r="FO10" i="1"/>
  <c r="NC10" i="1"/>
  <c r="EX67" i="1"/>
  <c r="OI67" i="1"/>
  <c r="MA67" i="1"/>
  <c r="ND67" i="1"/>
  <c r="EH67" i="1"/>
  <c r="KB67" i="1"/>
  <c r="NC67" i="1"/>
  <c r="HY67" i="1"/>
  <c r="KD67" i="1"/>
  <c r="KE67" i="1"/>
  <c r="GB67" i="1"/>
  <c r="HD67" i="1"/>
  <c r="NR67" i="1"/>
  <c r="ED67" i="1"/>
  <c r="LD67" i="1"/>
  <c r="LE67" i="1"/>
  <c r="GF67" i="1"/>
  <c r="GG67" i="1"/>
  <c r="LS67" i="1"/>
  <c r="GH67" i="1"/>
  <c r="GI67" i="1"/>
  <c r="DR67" i="1"/>
  <c r="DP67" i="1"/>
  <c r="DQ67" i="1"/>
  <c r="DS67" i="1"/>
  <c r="JD67" i="1"/>
  <c r="JF67" i="1"/>
  <c r="JH67" i="1"/>
  <c r="LV67" i="1"/>
  <c r="JI67" i="1"/>
  <c r="QS67" i="1"/>
  <c r="QU67" i="1"/>
  <c r="QX67" i="1"/>
  <c r="QZ67" i="1"/>
  <c r="RB67" i="1"/>
  <c r="DM67" i="1"/>
  <c r="DN67" i="1"/>
  <c r="RD67" i="1"/>
  <c r="RG67" i="1"/>
  <c r="HH10" i="1"/>
  <c r="OV10" i="1"/>
  <c r="FG10" i="1"/>
  <c r="BL10" i="1"/>
  <c r="IK10" i="1"/>
  <c r="MD10" i="1"/>
  <c r="CR10" i="1"/>
  <c r="CQ10" i="1"/>
  <c r="CS10" i="1"/>
  <c r="FY10" i="1"/>
  <c r="GL10" i="1"/>
  <c r="QQ10" i="1"/>
  <c r="DE10" i="1"/>
  <c r="LK10" i="1"/>
  <c r="HT10" i="1"/>
  <c r="RL10" i="1"/>
  <c r="MX67" i="1"/>
  <c r="CA10" i="1"/>
  <c r="QM10" i="1"/>
  <c r="HU10" i="1"/>
  <c r="OT67" i="1"/>
  <c r="PA67" i="1"/>
  <c r="MB67" i="1"/>
  <c r="JB67" i="1"/>
  <c r="PD67" i="1"/>
  <c r="IU67" i="1"/>
  <c r="FK67" i="1"/>
  <c r="BR67" i="1"/>
  <c r="NL67" i="1"/>
  <c r="BV67" i="1"/>
  <c r="LY67" i="1"/>
  <c r="NG67" i="1"/>
  <c r="BY67" i="1"/>
  <c r="QA67" i="1"/>
  <c r="QE67" i="1"/>
  <c r="ML67" i="1"/>
  <c r="PQ67" i="1"/>
  <c r="CF67" i="1"/>
  <c r="QH67" i="1"/>
  <c r="CK67" i="1"/>
  <c r="CR67" i="1"/>
  <c r="ID67" i="1"/>
  <c r="QK67" i="1"/>
  <c r="KO67" i="1"/>
  <c r="HL67" i="1"/>
  <c r="KG67" i="1"/>
  <c r="CW67" i="1"/>
  <c r="EX10" i="1"/>
  <c r="OO10" i="1"/>
  <c r="KW10" i="1"/>
  <c r="FE10" i="1"/>
  <c r="MC10" i="1"/>
  <c r="PI10" i="1"/>
  <c r="PZ10" i="1"/>
  <c r="KJ10" i="1"/>
  <c r="GD10" i="1"/>
  <c r="NF10" i="1"/>
  <c r="JP10" i="1"/>
  <c r="KD47" i="1"/>
  <c r="GA10" i="1"/>
  <c r="PM10" i="1"/>
  <c r="JG10" i="1"/>
  <c r="HE10" i="1"/>
  <c r="OI10" i="1"/>
  <c r="ID47" i="1"/>
  <c r="OQ47" i="1"/>
  <c r="OX47" i="1"/>
  <c r="BL47" i="1"/>
  <c r="QP47" i="1"/>
  <c r="HN47" i="1"/>
  <c r="HG67" i="1"/>
  <c r="OM67" i="1"/>
  <c r="FE67" i="1"/>
  <c r="KX67" i="1"/>
  <c r="KY67" i="1"/>
  <c r="PX67" i="1"/>
  <c r="CA67" i="1"/>
  <c r="PO67" i="1"/>
  <c r="IR67" i="1"/>
  <c r="CC67" i="1"/>
  <c r="PP67" i="1"/>
  <c r="MM67" i="1"/>
  <c r="II67" i="1"/>
  <c r="KH67" i="1"/>
  <c r="FV67" i="1"/>
  <c r="QG67" i="1"/>
  <c r="MN67" i="1"/>
  <c r="CJ67" i="1"/>
  <c r="OE67" i="1"/>
  <c r="QI67" i="1"/>
  <c r="IB67" i="1"/>
  <c r="LB67" i="1"/>
  <c r="MQ67" i="1"/>
  <c r="KL67" i="1"/>
  <c r="IC67" i="1"/>
  <c r="KM67" i="1"/>
  <c r="IE67" i="1"/>
  <c r="MU67" i="1"/>
  <c r="EL67" i="1"/>
  <c r="IF67" i="1"/>
  <c r="MV67" i="1"/>
  <c r="EO67" i="1"/>
  <c r="EQ67" i="1"/>
  <c r="ER67" i="1"/>
  <c r="HJ67" i="1"/>
  <c r="HK67" i="1"/>
  <c r="KA67" i="1"/>
  <c r="OF67" i="1"/>
  <c r="EK67" i="1"/>
  <c r="QT67" i="1"/>
  <c r="GC67" i="1"/>
  <c r="GL67" i="1"/>
  <c r="DV67" i="1"/>
  <c r="HM67" i="1"/>
  <c r="JK67" i="1"/>
  <c r="DW67" i="1"/>
  <c r="HP67" i="1"/>
  <c r="QQ67" i="1"/>
  <c r="GJ67" i="1"/>
  <c r="LQ67" i="1"/>
  <c r="CX67" i="1"/>
  <c r="JA10" i="1"/>
  <c r="IG10" i="1"/>
  <c r="KM10" i="1"/>
  <c r="EH10" i="1"/>
  <c r="KD10" i="1"/>
  <c r="ED10" i="1"/>
  <c r="DL10" i="1"/>
  <c r="CT10" i="1"/>
  <c r="QI10" i="1"/>
  <c r="IF10" i="1"/>
  <c r="EV10" i="1"/>
  <c r="GI10" i="1"/>
  <c r="MI10" i="1"/>
  <c r="GX47" i="1"/>
  <c r="PQ47" i="1"/>
  <c r="QH47" i="1"/>
  <c r="KO47" i="1"/>
  <c r="HL47" i="1"/>
  <c r="NB47" i="1"/>
  <c r="GF47" i="1"/>
  <c r="OP67" i="1"/>
  <c r="OU67" i="1"/>
  <c r="MJ67" i="1"/>
  <c r="HZ67" i="1"/>
  <c r="PN67" i="1"/>
  <c r="CM67" i="1"/>
  <c r="EN67" i="1"/>
  <c r="MY67" i="1"/>
  <c r="GM67" i="1"/>
  <c r="OR10" i="1"/>
  <c r="GZ10" i="1"/>
  <c r="FI10" i="1"/>
  <c r="BQ10" i="1"/>
  <c r="EZ10" i="1"/>
  <c r="PC10" i="1"/>
  <c r="JC10" i="1"/>
  <c r="PE10" i="1"/>
  <c r="KT10" i="1"/>
  <c r="PF10" i="1"/>
  <c r="FJ10" i="1"/>
  <c r="IW10" i="1"/>
  <c r="PH10" i="1"/>
  <c r="PJ10" i="1"/>
  <c r="IJ10" i="1"/>
  <c r="IT10" i="1"/>
  <c r="IS10" i="1"/>
  <c r="NO10" i="1"/>
  <c r="NP10" i="1"/>
  <c r="NY10" i="1"/>
  <c r="BW10" i="1"/>
  <c r="PU10" i="1"/>
  <c r="FN10" i="1"/>
  <c r="QC10" i="1"/>
  <c r="NZ10" i="1"/>
  <c r="IN10" i="1"/>
  <c r="FP10" i="1"/>
  <c r="KU10" i="1"/>
  <c r="NI10" i="1"/>
  <c r="BX10" i="1"/>
  <c r="KV10" i="1"/>
  <c r="FS10" i="1"/>
  <c r="BS10" i="1"/>
  <c r="OJ10" i="1"/>
  <c r="QA10" i="1"/>
  <c r="FQ10" i="1"/>
  <c r="OK10" i="1"/>
  <c r="PX10" i="1"/>
  <c r="MJ10" i="1"/>
  <c r="IQ10" i="1"/>
  <c r="PO10" i="1"/>
  <c r="PP10" i="1"/>
  <c r="HZ10" i="1"/>
  <c r="MM10" i="1"/>
  <c r="II10" i="1"/>
  <c r="KH10" i="1"/>
  <c r="FW10" i="1"/>
  <c r="QH10" i="1"/>
  <c r="FA10" i="1"/>
  <c r="CI10" i="1"/>
  <c r="CJ10" i="1"/>
  <c r="OE10" i="1"/>
  <c r="MP10" i="1"/>
  <c r="IB10" i="1"/>
  <c r="CN10" i="1"/>
  <c r="CP10" i="1"/>
  <c r="KL10" i="1"/>
  <c r="IC10" i="1"/>
  <c r="MR10" i="1"/>
  <c r="IE10" i="1"/>
  <c r="MT10" i="1"/>
  <c r="QK10" i="1"/>
  <c r="MV10" i="1"/>
  <c r="EN10" i="1"/>
  <c r="EO10" i="1"/>
  <c r="KG10" i="1"/>
  <c r="PR10" i="1"/>
  <c r="EE10" i="1"/>
  <c r="KB10" i="1"/>
  <c r="HY10" i="1"/>
  <c r="KE10" i="1"/>
  <c r="HD10" i="1"/>
  <c r="NR10" i="1"/>
  <c r="LD10" i="1"/>
  <c r="LE10" i="1"/>
  <c r="GH10" i="1"/>
  <c r="DQ10" i="1"/>
  <c r="DT10" i="1"/>
  <c r="LV10" i="1"/>
  <c r="JJ10" i="1"/>
  <c r="LW10" i="1"/>
  <c r="HN10" i="1"/>
  <c r="QR10" i="1"/>
  <c r="DX10" i="1"/>
  <c r="QW10" i="1"/>
  <c r="RA10" i="1"/>
  <c r="DO10" i="1"/>
  <c r="RH10" i="1"/>
  <c r="RJ10" i="1"/>
  <c r="JN10" i="1"/>
  <c r="NU10" i="1"/>
  <c r="DD10" i="1"/>
  <c r="GP10" i="1"/>
  <c r="JT10" i="1"/>
  <c r="GO10" i="1"/>
  <c r="LN10" i="1"/>
  <c r="GQ10" i="1"/>
  <c r="LO10" i="1"/>
  <c r="HV10" i="1"/>
  <c r="PG10" i="1"/>
  <c r="IX10" i="1"/>
  <c r="KX10" i="1"/>
  <c r="KR10" i="1"/>
  <c r="NK10" i="1"/>
  <c r="NL10" i="1"/>
  <c r="KY10" i="1"/>
  <c r="QG10" i="1"/>
  <c r="EF10" i="1"/>
  <c r="GK10" i="1"/>
  <c r="QO10" i="1"/>
  <c r="JU10" i="1"/>
  <c r="FF10" i="1"/>
  <c r="LA10" i="1"/>
  <c r="QJ10" i="1"/>
  <c r="MY10" i="1"/>
  <c r="JY10" i="1"/>
  <c r="HB10" i="1"/>
  <c r="KI10" i="1"/>
  <c r="OG10" i="1"/>
  <c r="FX10" i="1"/>
  <c r="NB10" i="1"/>
  <c r="ND10" i="1"/>
  <c r="DC10" i="1"/>
  <c r="LL10" i="1"/>
  <c r="LM10" i="1"/>
  <c r="ME10" i="1"/>
  <c r="IQ67" i="1"/>
  <c r="CD67" i="1"/>
  <c r="IG67" i="1"/>
  <c r="FW67" i="1"/>
  <c r="GD67" i="1"/>
  <c r="KW67" i="1"/>
  <c r="BZ67" i="1"/>
  <c r="CI67" i="1"/>
  <c r="MP67" i="1"/>
  <c r="CP67" i="1"/>
  <c r="MR67" i="1"/>
  <c r="EI67" i="1"/>
  <c r="GA67" i="1"/>
  <c r="ET67" i="1"/>
  <c r="PS67" i="1"/>
  <c r="RK67" i="1"/>
  <c r="OQ10" i="1"/>
  <c r="EW10" i="1"/>
  <c r="EY10" i="1"/>
  <c r="OP10" i="1"/>
  <c r="KP10" i="1"/>
  <c r="OW10" i="1"/>
  <c r="FC10" i="1"/>
  <c r="GW10" i="1"/>
  <c r="FH10" i="1"/>
  <c r="LZ10" i="1"/>
  <c r="GV10" i="1"/>
  <c r="BM10" i="1"/>
  <c r="GX10" i="1"/>
  <c r="GY10" i="1"/>
  <c r="IU10" i="1"/>
  <c r="IY10" i="1"/>
  <c r="PK10" i="1"/>
  <c r="BU10" i="1"/>
  <c r="EM10" i="1"/>
  <c r="KN10" i="1"/>
  <c r="MX10" i="1"/>
  <c r="ON10" i="1"/>
  <c r="FB10" i="1"/>
  <c r="HF10" i="1"/>
  <c r="MS10" i="1"/>
  <c r="ID10" i="1"/>
  <c r="ET10" i="1"/>
  <c r="EK10" i="1"/>
  <c r="QT10" i="1"/>
  <c r="PS10" i="1"/>
  <c r="HX10" i="1"/>
  <c r="EG10" i="1"/>
  <c r="NE10" i="1"/>
  <c r="KC10" i="1"/>
  <c r="OB10" i="1"/>
  <c r="HQ10" i="1"/>
  <c r="JS10" i="1"/>
  <c r="RN67" i="1"/>
  <c r="OT10" i="1"/>
  <c r="OH10" i="1"/>
  <c r="HG10" i="1"/>
  <c r="FD10" i="1"/>
  <c r="GS10" i="1"/>
  <c r="OU10" i="1"/>
  <c r="KQ10" i="1"/>
  <c r="NV10" i="1"/>
  <c r="OX10" i="1"/>
  <c r="OY10" i="1"/>
  <c r="PA10" i="1"/>
  <c r="GT10" i="1"/>
  <c r="NW10" i="1"/>
  <c r="PD10" i="1"/>
  <c r="NN10" i="1"/>
  <c r="IZ10" i="1"/>
  <c r="FK10" i="1"/>
  <c r="NJ10" i="1"/>
  <c r="BT10" i="1"/>
  <c r="PL10" i="1"/>
  <c r="PT10" i="1"/>
  <c r="PV10" i="1"/>
  <c r="FL10" i="1"/>
  <c r="BV10" i="1"/>
  <c r="IL10" i="1"/>
  <c r="QB10" i="1"/>
  <c r="LY10" i="1"/>
  <c r="IM10" i="1"/>
  <c r="NG10" i="1"/>
  <c r="NH10" i="1"/>
  <c r="QD10" i="1"/>
  <c r="IO10" i="1"/>
  <c r="BY10" i="1"/>
  <c r="MG10" i="1"/>
  <c r="FR10" i="1"/>
  <c r="KZ10" i="1"/>
  <c r="IP10" i="1"/>
  <c r="QE10" i="1"/>
  <c r="QF10" i="1"/>
  <c r="MU10" i="1"/>
  <c r="EJ10" i="1"/>
  <c r="KO10" i="1"/>
  <c r="FZ10" i="1"/>
  <c r="MW10" i="1"/>
  <c r="EP10" i="1"/>
  <c r="HJ10" i="1"/>
  <c r="HK10" i="1"/>
  <c r="KA10" i="1"/>
  <c r="HH47" i="1"/>
  <c r="CE47" i="1"/>
  <c r="CF47" i="1"/>
  <c r="KI47" i="1"/>
  <c r="CH47" i="1"/>
  <c r="CK47" i="1"/>
  <c r="MO47" i="1"/>
  <c r="CO47" i="1"/>
  <c r="CR47" i="1"/>
  <c r="CS47" i="1"/>
  <c r="FY47" i="1"/>
  <c r="QK47" i="1"/>
  <c r="KN47" i="1"/>
  <c r="MW47" i="1"/>
  <c r="MX47" i="1"/>
  <c r="ES47" i="1"/>
  <c r="OD47" i="1"/>
  <c r="KG47" i="1"/>
  <c r="PR47" i="1"/>
  <c r="GC47" i="1"/>
  <c r="EH47" i="1"/>
  <c r="NC47" i="1"/>
  <c r="GB47" i="1"/>
  <c r="NR47" i="1"/>
  <c r="LD47" i="1"/>
  <c r="HC47" i="1"/>
  <c r="GH47" i="1"/>
  <c r="FU10" i="1"/>
  <c r="PY10" i="1"/>
  <c r="ML10" i="1"/>
  <c r="CB10" i="1"/>
  <c r="JZ10" i="1"/>
  <c r="PQ10" i="1"/>
  <c r="MK10" i="1"/>
  <c r="CE10" i="1"/>
  <c r="IH10" i="1"/>
  <c r="CF10" i="1"/>
  <c r="CG10" i="1"/>
  <c r="PN10" i="1"/>
  <c r="MN10" i="1"/>
  <c r="KK10" i="1"/>
  <c r="CK10" i="1"/>
  <c r="CL10" i="1"/>
  <c r="MO10" i="1"/>
  <c r="LB10" i="1"/>
  <c r="ES10" i="1"/>
  <c r="MZ10" i="1"/>
  <c r="HL10" i="1"/>
  <c r="QL10" i="1"/>
  <c r="OD10" i="1"/>
  <c r="NA10" i="1"/>
  <c r="EB10" i="1"/>
  <c r="EC10" i="1"/>
  <c r="GE10" i="1"/>
  <c r="LC10" i="1"/>
  <c r="DY10" i="1"/>
  <c r="LX10" i="1"/>
  <c r="OC10" i="1"/>
  <c r="QN10" i="1"/>
  <c r="JE10" i="1"/>
  <c r="JD10" i="1"/>
  <c r="HM10" i="1"/>
  <c r="JK10" i="1"/>
  <c r="HP10" i="1"/>
  <c r="QU10" i="1"/>
  <c r="QX10" i="1"/>
  <c r="QZ10" i="1"/>
  <c r="RB10" i="1"/>
  <c r="DN10" i="1"/>
  <c r="RD10" i="1"/>
  <c r="RI10" i="1"/>
  <c r="RK10" i="1"/>
  <c r="DF10" i="1"/>
  <c r="GM10" i="1"/>
  <c r="RM10" i="1"/>
  <c r="RN10" i="1"/>
  <c r="DG10" i="1"/>
  <c r="JO10" i="1"/>
  <c r="JX10" i="1"/>
  <c r="DJ10" i="1"/>
  <c r="NT10" i="1"/>
  <c r="JR10" i="1"/>
  <c r="HR10" i="1"/>
  <c r="CU10" i="1"/>
  <c r="CV10" i="1"/>
  <c r="DK10" i="1"/>
  <c r="JV10" i="1"/>
  <c r="GR10" i="1"/>
  <c r="NM10" i="1"/>
  <c r="CC10" i="1"/>
  <c r="CO10" i="1"/>
  <c r="GC10" i="1"/>
  <c r="OP47" i="1"/>
  <c r="GS47" i="1"/>
  <c r="OV47" i="1"/>
  <c r="KR47" i="1"/>
  <c r="FH47" i="1"/>
  <c r="LZ47" i="1"/>
  <c r="GV47" i="1"/>
  <c r="BM47" i="1"/>
  <c r="GY47" i="1"/>
  <c r="JA47" i="1"/>
  <c r="GZ47" i="1"/>
  <c r="HB47" i="1"/>
  <c r="MK47" i="1"/>
  <c r="IH47" i="1"/>
  <c r="CG47" i="1"/>
  <c r="KJ47" i="1"/>
  <c r="FA47" i="1"/>
  <c r="KK47" i="1"/>
  <c r="CL47" i="1"/>
  <c r="IA47" i="1"/>
  <c r="CN47" i="1"/>
  <c r="QJ47" i="1"/>
  <c r="CQ47" i="1"/>
  <c r="MS47" i="1"/>
  <c r="FX47" i="1"/>
  <c r="MT47" i="1"/>
  <c r="EM47" i="1"/>
  <c r="EJ47" i="1"/>
  <c r="FZ47" i="1"/>
  <c r="EP47" i="1"/>
  <c r="HI47" i="1"/>
  <c r="MZ47" i="1"/>
  <c r="QL47" i="1"/>
  <c r="NA47" i="1"/>
  <c r="QM47" i="1"/>
  <c r="EU47" i="1"/>
  <c r="HW47" i="1"/>
  <c r="ND47" i="1"/>
  <c r="KB47" i="1"/>
  <c r="HY47" i="1"/>
  <c r="KE47" i="1"/>
  <c r="HD47" i="1"/>
  <c r="ED47" i="1"/>
  <c r="LE47" i="1"/>
  <c r="GG47" i="1"/>
  <c r="LS47" i="1"/>
  <c r="JO67" i="1"/>
  <c r="DE67" i="1"/>
  <c r="JX67" i="1"/>
  <c r="JY67" i="1"/>
  <c r="DJ67" i="1"/>
  <c r="HQ67" i="1"/>
  <c r="NT67" i="1"/>
  <c r="JP67" i="1"/>
  <c r="JR67" i="1"/>
  <c r="JS67" i="1"/>
  <c r="HR67" i="1"/>
  <c r="DA67" i="1"/>
  <c r="DB67" i="1"/>
  <c r="HS67" i="1"/>
  <c r="DD67" i="1"/>
  <c r="GP67" i="1"/>
  <c r="JT67" i="1"/>
  <c r="GO67" i="1"/>
  <c r="JU67" i="1"/>
  <c r="CU67" i="1"/>
  <c r="CV67" i="1"/>
  <c r="DK67" i="1"/>
  <c r="JV67" i="1"/>
  <c r="GR67" i="1"/>
  <c r="JW67" i="1"/>
  <c r="RI67" i="1"/>
  <c r="DF67" i="1"/>
  <c r="RM67" i="1"/>
  <c r="DG67" i="1"/>
  <c r="GN67" i="1"/>
  <c r="LG67" i="1"/>
  <c r="DH67" i="1"/>
  <c r="DI67" i="1"/>
  <c r="LH67" i="1"/>
  <c r="NS67" i="1"/>
  <c r="CZ67" i="1"/>
  <c r="JQ67" i="1"/>
  <c r="LI67" i="1"/>
  <c r="LJ67" i="1"/>
  <c r="CY67" i="1"/>
  <c r="NU67" i="1"/>
  <c r="QO67" i="1"/>
  <c r="DC67" i="1"/>
  <c r="LK67" i="1"/>
  <c r="LL67" i="1"/>
  <c r="HT67" i="1"/>
  <c r="LM67" i="1"/>
  <c r="CT67" i="1"/>
  <c r="LN67" i="1"/>
  <c r="GQ67" i="1"/>
  <c r="LO67" i="1"/>
  <c r="HU67" i="1"/>
  <c r="HV67" i="1"/>
  <c r="LP67" i="1"/>
  <c r="BR11" i="1"/>
  <c r="BR10" i="1" s="1"/>
  <c r="PW70" i="1"/>
  <c r="GI47" i="1"/>
  <c r="JZ47" i="1"/>
  <c r="OT47" i="1"/>
  <c r="PP47" i="1"/>
  <c r="HZ47" i="1"/>
  <c r="MM47" i="1"/>
  <c r="IG47" i="1"/>
  <c r="II47" i="1"/>
  <c r="KH47" i="1"/>
  <c r="FV47" i="1"/>
  <c r="FW47" i="1"/>
  <c r="QG47" i="1"/>
  <c r="PN47" i="1"/>
  <c r="MN47" i="1"/>
  <c r="CI47" i="1"/>
  <c r="CJ47" i="1"/>
  <c r="OE47" i="1"/>
  <c r="QI47" i="1"/>
  <c r="MP47" i="1"/>
  <c r="IB47" i="1"/>
  <c r="CM47" i="1"/>
  <c r="LB47" i="1"/>
  <c r="CP47" i="1"/>
  <c r="MQ47" i="1"/>
  <c r="KL47" i="1"/>
  <c r="IC47" i="1"/>
  <c r="MR47" i="1"/>
  <c r="KM47" i="1"/>
  <c r="IE47" i="1"/>
  <c r="MU47" i="1"/>
  <c r="EL47" i="1"/>
  <c r="IF47" i="1"/>
  <c r="EI47" i="1"/>
  <c r="MV47" i="1"/>
  <c r="EN47" i="1"/>
  <c r="EO47" i="1"/>
  <c r="GA47" i="1"/>
  <c r="EQ47" i="1"/>
  <c r="ER47" i="1"/>
  <c r="HJ47" i="1"/>
  <c r="ET47" i="1"/>
  <c r="HK47" i="1"/>
  <c r="MY47" i="1"/>
  <c r="KA47" i="1"/>
  <c r="GD47" i="1"/>
  <c r="OF47" i="1"/>
  <c r="EK47" i="1"/>
  <c r="QT47" i="1"/>
  <c r="PS47" i="1"/>
  <c r="EV47" i="1"/>
  <c r="HE47" i="1"/>
  <c r="EE47" i="1"/>
  <c r="EF47" i="1"/>
  <c r="HX47" i="1"/>
  <c r="EG47" i="1"/>
  <c r="NE47" i="1"/>
  <c r="KC47" i="1"/>
  <c r="OB47" i="1"/>
  <c r="NF47" i="1"/>
  <c r="EB47" i="1"/>
  <c r="EC47" i="1"/>
  <c r="GE47" i="1"/>
  <c r="LC47" i="1"/>
  <c r="DY47" i="1"/>
  <c r="EA47" i="1"/>
  <c r="DZ47" i="1"/>
  <c r="LF47" i="1"/>
  <c r="LR47" i="1"/>
  <c r="KF47" i="1"/>
  <c r="LX47" i="1"/>
  <c r="JJ47" i="1"/>
  <c r="LW47" i="1"/>
  <c r="QR47" i="1"/>
  <c r="OH47" i="1"/>
  <c r="OL47" i="1"/>
  <c r="OO47" i="1"/>
  <c r="KW47" i="1"/>
  <c r="FE47" i="1"/>
  <c r="OU47" i="1"/>
  <c r="MA47" i="1"/>
  <c r="EU67" i="1"/>
  <c r="HW67" i="1"/>
  <c r="QP67" i="1"/>
  <c r="LW67" i="1"/>
  <c r="HN67" i="1"/>
  <c r="QR67" i="1"/>
  <c r="HO67" i="1"/>
  <c r="JL67" i="1"/>
  <c r="PC47" i="1"/>
  <c r="KT47" i="1"/>
  <c r="PJ47" i="1"/>
  <c r="PM47" i="1"/>
  <c r="FM47" i="1"/>
  <c r="PU47" i="1"/>
  <c r="IN47" i="1"/>
  <c r="NI47" i="1"/>
  <c r="PZ47" i="1"/>
  <c r="MG47" i="1"/>
  <c r="KY47" i="1"/>
  <c r="CA47" i="1"/>
  <c r="CC47" i="1"/>
  <c r="JL47" i="1"/>
  <c r="DX47" i="1"/>
  <c r="QW47" i="1"/>
  <c r="RA47" i="1"/>
  <c r="DL47" i="1"/>
  <c r="DO47" i="1"/>
  <c r="RH47" i="1"/>
  <c r="RJ47" i="1"/>
  <c r="RL47" i="1"/>
  <c r="JN47" i="1"/>
  <c r="JO47" i="1"/>
  <c r="JX47" i="1"/>
  <c r="DJ47" i="1"/>
  <c r="NT47" i="1"/>
  <c r="JR47" i="1"/>
  <c r="HR47" i="1"/>
  <c r="DB47" i="1"/>
  <c r="DD47" i="1"/>
  <c r="JT47" i="1"/>
  <c r="JU47" i="1"/>
  <c r="CV47" i="1"/>
  <c r="JV47" i="1"/>
  <c r="OW67" i="1"/>
  <c r="NW67" i="1"/>
  <c r="BO67" i="1"/>
  <c r="BP67" i="1"/>
  <c r="NN67" i="1"/>
  <c r="IZ67" i="1"/>
  <c r="PH67" i="1"/>
  <c r="PK67" i="1"/>
  <c r="PT67" i="1"/>
  <c r="NP67" i="1"/>
  <c r="QB67" i="1"/>
  <c r="QD67" i="1"/>
  <c r="BS67" i="1"/>
  <c r="FQ67" i="1"/>
  <c r="KZ67" i="1"/>
  <c r="FU67" i="1"/>
  <c r="CE67" i="1"/>
  <c r="KI67" i="1"/>
  <c r="CH67" i="1"/>
  <c r="MO67" i="1"/>
  <c r="CO67" i="1"/>
  <c r="CS67" i="1"/>
  <c r="FY67" i="1"/>
  <c r="KN67" i="1"/>
  <c r="MW67" i="1"/>
  <c r="ES67" i="1"/>
  <c r="OD67" i="1"/>
  <c r="PR67" i="1"/>
  <c r="GU10" i="1"/>
  <c r="MB10" i="1"/>
  <c r="BN10" i="1"/>
  <c r="BO10" i="1"/>
  <c r="KS10" i="1"/>
  <c r="JB10" i="1"/>
  <c r="HA10" i="1"/>
  <c r="EU10" i="1"/>
  <c r="PA47" i="1"/>
  <c r="GT47" i="1"/>
  <c r="NW47" i="1"/>
  <c r="GU47" i="1"/>
  <c r="MB47" i="1"/>
  <c r="BN47" i="1"/>
  <c r="BO47" i="1"/>
  <c r="KS47" i="1"/>
  <c r="JB47" i="1"/>
  <c r="HA47" i="1"/>
  <c r="DU47" i="1"/>
  <c r="EX47" i="1"/>
  <c r="FD47" i="1"/>
  <c r="FG47" i="1"/>
  <c r="KP47" i="1"/>
  <c r="OW47" i="1"/>
  <c r="FC47" i="1"/>
  <c r="GW47" i="1"/>
  <c r="FI47" i="1"/>
  <c r="EZ47" i="1"/>
  <c r="JC47" i="1"/>
  <c r="IV47" i="1"/>
  <c r="PF47" i="1"/>
  <c r="IW47" i="1"/>
  <c r="NJ47" i="1"/>
  <c r="IX47" i="1"/>
  <c r="BT47" i="1"/>
  <c r="IJ47" i="1"/>
  <c r="IT47" i="1"/>
  <c r="NO47" i="1"/>
  <c r="IK47" i="1"/>
  <c r="BW47" i="1"/>
  <c r="FN47" i="1"/>
  <c r="NZ47" i="1"/>
  <c r="FO47" i="1"/>
  <c r="KU47" i="1"/>
  <c r="BX47" i="1"/>
  <c r="PW47" i="1"/>
  <c r="LA47" i="1"/>
  <c r="ME47" i="1"/>
  <c r="FR47" i="1"/>
  <c r="KX47" i="1"/>
  <c r="BZ47" i="1"/>
  <c r="MJ47" i="1"/>
  <c r="IQ47" i="1"/>
  <c r="IR47" i="1"/>
  <c r="CD47" i="1"/>
  <c r="JW47" i="1"/>
  <c r="LQ47" i="1"/>
  <c r="CX47" i="1"/>
  <c r="KP67" i="1"/>
  <c r="FC67" i="1"/>
  <c r="GW67" i="1"/>
  <c r="GT67" i="1"/>
  <c r="GU67" i="1"/>
  <c r="BN67" i="1"/>
  <c r="KS67" i="1"/>
  <c r="HA67" i="1"/>
  <c r="MC67" i="1"/>
  <c r="FB67" i="1"/>
  <c r="OG67" i="1"/>
  <c r="HF67" i="1"/>
  <c r="PI67" i="1"/>
  <c r="PG67" i="1"/>
  <c r="NX67" i="1"/>
  <c r="IY67" i="1"/>
  <c r="BU67" i="1"/>
  <c r="PL67" i="1"/>
  <c r="PV67" i="1"/>
  <c r="FL67" i="1"/>
  <c r="NY67" i="1"/>
  <c r="IL67" i="1"/>
  <c r="IM67" i="1"/>
  <c r="NH67" i="1"/>
  <c r="IO67" i="1"/>
  <c r="FS67" i="1"/>
  <c r="OJ67" i="1"/>
  <c r="MF67" i="1"/>
  <c r="OK67" i="1"/>
  <c r="FT67" i="1"/>
  <c r="IP67" i="1"/>
  <c r="QF67" i="1"/>
  <c r="PY67" i="1"/>
  <c r="CB67" i="1"/>
  <c r="JZ67" i="1"/>
  <c r="MK67" i="1"/>
  <c r="IH67" i="1"/>
  <c r="CG67" i="1"/>
  <c r="KJ67" i="1"/>
  <c r="FA67" i="1"/>
  <c r="KK67" i="1"/>
  <c r="CL67" i="1"/>
  <c r="IA67" i="1"/>
  <c r="CN67" i="1"/>
  <c r="QJ67" i="1"/>
  <c r="CQ67" i="1"/>
  <c r="MS67" i="1"/>
  <c r="FX67" i="1"/>
  <c r="MT67" i="1"/>
  <c r="EM67" i="1"/>
  <c r="EJ67" i="1"/>
  <c r="FZ67" i="1"/>
  <c r="EP67" i="1"/>
  <c r="HI67" i="1"/>
  <c r="MZ67" i="1"/>
  <c r="QL67" i="1"/>
  <c r="NA67" i="1"/>
  <c r="QM67" i="1"/>
  <c r="EE67" i="1"/>
  <c r="JJ67" i="1"/>
  <c r="JM67" i="1"/>
  <c r="RH67" i="1"/>
  <c r="RE67" i="1"/>
  <c r="RJ67" i="1"/>
  <c r="LU67" i="1"/>
  <c r="RL67" i="1"/>
  <c r="NQ67" i="1"/>
  <c r="JN67" i="1"/>
  <c r="MH10" i="1"/>
  <c r="BZ10" i="1"/>
  <c r="DR10" i="1"/>
  <c r="ER10" i="1"/>
  <c r="DM10" i="1"/>
  <c r="CM10" i="1"/>
  <c r="EI10" i="1"/>
  <c r="HS10" i="1"/>
  <c r="LP10" i="1"/>
  <c r="GJ10" i="1"/>
  <c r="OA10" i="1"/>
  <c r="CD10" i="1"/>
  <c r="EL10" i="1"/>
  <c r="EQ10" i="1"/>
  <c r="OF10" i="1"/>
  <c r="CW10" i="1"/>
  <c r="NV47" i="1"/>
  <c r="OY47" i="1"/>
  <c r="GL47" i="1"/>
  <c r="DV47" i="1"/>
  <c r="HM47" i="1"/>
  <c r="JK47" i="1"/>
  <c r="IV10" i="1"/>
  <c r="QS10" i="1"/>
  <c r="RG10" i="1"/>
  <c r="NB67" i="1"/>
  <c r="DU11" i="1"/>
  <c r="DU10" i="1" s="1"/>
  <c r="JF10" i="1"/>
  <c r="JH10" i="1"/>
  <c r="QV10" i="1"/>
  <c r="QY10" i="1"/>
  <c r="RC10" i="1"/>
  <c r="LT10" i="1"/>
  <c r="RF10" i="1"/>
  <c r="RE10" i="1"/>
  <c r="LU10" i="1"/>
  <c r="NQ10" i="1"/>
  <c r="GN10" i="1"/>
  <c r="LG10" i="1"/>
  <c r="DH10" i="1"/>
  <c r="DI10" i="1"/>
  <c r="LH10" i="1"/>
  <c r="NS10" i="1"/>
  <c r="CZ10" i="1"/>
  <c r="JQ10" i="1"/>
  <c r="LI10" i="1"/>
  <c r="LJ10" i="1"/>
  <c r="CY10" i="1"/>
  <c r="LQ10" i="1"/>
  <c r="CX10" i="1"/>
  <c r="BP10" i="1"/>
  <c r="PW11" i="1"/>
  <c r="PW10" i="1" s="1"/>
  <c r="DS10" i="1"/>
  <c r="OR47" i="1"/>
  <c r="OS47" i="1"/>
  <c r="OI47" i="1"/>
  <c r="HG47" i="1"/>
  <c r="OM47" i="1"/>
  <c r="KQ47" i="1"/>
  <c r="FF47" i="1"/>
  <c r="ON47" i="1"/>
  <c r="OZ47" i="1"/>
  <c r="MC47" i="1"/>
  <c r="PD47" i="1"/>
  <c r="FB47" i="1"/>
  <c r="NN47" i="1"/>
  <c r="OG47" i="1"/>
  <c r="IU47" i="1"/>
  <c r="HF47" i="1"/>
  <c r="IZ47" i="1"/>
  <c r="PI47" i="1"/>
  <c r="FK47" i="1"/>
  <c r="PG47" i="1"/>
  <c r="PH47" i="1"/>
  <c r="NX47" i="1"/>
  <c r="BR47" i="1"/>
  <c r="IY47" i="1"/>
  <c r="PK47" i="1"/>
  <c r="BU47" i="1"/>
  <c r="NL47" i="1"/>
  <c r="PL47" i="1"/>
  <c r="PT47" i="1"/>
  <c r="PV47" i="1"/>
  <c r="FL47" i="1"/>
  <c r="NP47" i="1"/>
  <c r="NY47" i="1"/>
  <c r="BV47" i="1"/>
  <c r="IL47" i="1"/>
  <c r="QB47" i="1"/>
  <c r="LY47" i="1"/>
  <c r="IM47" i="1"/>
  <c r="NG47" i="1"/>
  <c r="NH47" i="1"/>
  <c r="QD47" i="1"/>
  <c r="IO47" i="1"/>
  <c r="BY47" i="1"/>
  <c r="FS47" i="1"/>
  <c r="BS47" i="1"/>
  <c r="OJ47" i="1"/>
  <c r="QA47" i="1"/>
  <c r="MF47" i="1"/>
  <c r="FQ47" i="1"/>
  <c r="OK47" i="1"/>
  <c r="MI47" i="1"/>
  <c r="FT47" i="1"/>
  <c r="KZ47" i="1"/>
  <c r="IP47" i="1"/>
  <c r="QE47" i="1"/>
  <c r="QF47" i="1"/>
  <c r="FU47" i="1"/>
  <c r="PY47" i="1"/>
  <c r="ML47" i="1"/>
  <c r="CB47" i="1"/>
  <c r="JI47" i="1"/>
  <c r="EF67" i="1"/>
  <c r="HX67" i="1"/>
  <c r="EG67" i="1"/>
  <c r="NE67" i="1"/>
  <c r="KC67" i="1"/>
  <c r="OB67" i="1"/>
  <c r="NF67" i="1"/>
  <c r="EB67" i="1"/>
  <c r="EC67" i="1"/>
  <c r="GE67" i="1"/>
  <c r="LC67" i="1"/>
  <c r="DY67" i="1"/>
  <c r="EA67" i="1"/>
  <c r="DZ67" i="1"/>
  <c r="LF67" i="1"/>
  <c r="LR67" i="1"/>
  <c r="KF67" i="1"/>
  <c r="LX67" i="1"/>
  <c r="OC67" i="1"/>
  <c r="QN67" i="1"/>
  <c r="JE67" i="1"/>
  <c r="DT67" i="1"/>
  <c r="JG67" i="1"/>
  <c r="GK67" i="1"/>
  <c r="DU67" i="1"/>
  <c r="DX67" i="1"/>
  <c r="QV67" i="1"/>
  <c r="QW67" i="1"/>
  <c r="QY67" i="1"/>
  <c r="RA67" i="1"/>
  <c r="RC67" i="1"/>
  <c r="DL67" i="1"/>
  <c r="LT67" i="1"/>
  <c r="DO67" i="1"/>
  <c r="RF67" i="1"/>
  <c r="HW10" i="1"/>
  <c r="MF10" i="1"/>
  <c r="OZ10" i="1"/>
  <c r="IR10" i="1"/>
  <c r="FV10" i="1"/>
  <c r="MQ10" i="1"/>
  <c r="DP10" i="1"/>
  <c r="FM10" i="1"/>
  <c r="OL25" i="1"/>
  <c r="OL10" i="1" s="1"/>
  <c r="QP10" i="1"/>
  <c r="OM10" i="1"/>
  <c r="JL10" i="1"/>
  <c r="DB10" i="1"/>
  <c r="OS11" i="1"/>
  <c r="OS10" i="1" s="1"/>
  <c r="MA10" i="1"/>
  <c r="IA10" i="1"/>
  <c r="HI10" i="1"/>
  <c r="GB10" i="1"/>
  <c r="JI10" i="1"/>
  <c r="DV10" i="1"/>
  <c r="DW10" i="1"/>
  <c r="JM10" i="1"/>
  <c r="DA10" i="1"/>
  <c r="JW10" i="1"/>
  <c r="LV48" i="1"/>
  <c r="LV47" i="1" s="1"/>
  <c r="NX10" i="1"/>
  <c r="FT10" i="1"/>
  <c r="OS67" i="1"/>
  <c r="EW67" i="1"/>
  <c r="EY67" i="1"/>
  <c r="OH67" i="1"/>
  <c r="OL67" i="1"/>
  <c r="OO67" i="1"/>
  <c r="FD67" i="1"/>
  <c r="GS67" i="1"/>
  <c r="HH67" i="1"/>
  <c r="OV67" i="1"/>
  <c r="FG67" i="1"/>
  <c r="KQ67" i="1"/>
  <c r="NV67" i="1"/>
  <c r="FF67" i="1"/>
  <c r="OX67" i="1"/>
  <c r="ON67" i="1"/>
  <c r="OY67" i="1"/>
  <c r="OZ67" i="1"/>
  <c r="BL67" i="1"/>
  <c r="KR67" i="1"/>
  <c r="FH67" i="1"/>
  <c r="LZ67" i="1"/>
  <c r="GV67" i="1"/>
  <c r="BM67" i="1"/>
  <c r="GX67" i="1"/>
  <c r="GY67" i="1"/>
  <c r="JA67" i="1"/>
  <c r="GZ67" i="1"/>
  <c r="HB67" i="1"/>
  <c r="FI67" i="1"/>
  <c r="BQ67" i="1"/>
  <c r="EZ67" i="1"/>
  <c r="PC67" i="1"/>
  <c r="JC67" i="1"/>
  <c r="PE67" i="1"/>
  <c r="IV67" i="1"/>
  <c r="KT67" i="1"/>
  <c r="PF67" i="1"/>
  <c r="FJ67" i="1"/>
  <c r="IW67" i="1"/>
  <c r="NJ67" i="1"/>
  <c r="NK67" i="1"/>
  <c r="IX67" i="1"/>
  <c r="PJ67" i="1"/>
  <c r="BT67" i="1"/>
  <c r="NM67" i="1"/>
  <c r="IJ67" i="1"/>
  <c r="PM67" i="1"/>
  <c r="IT67" i="1"/>
  <c r="IS67" i="1"/>
  <c r="NO67" i="1"/>
  <c r="FM67" i="1"/>
  <c r="IK67" i="1"/>
  <c r="OA67" i="1"/>
  <c r="BW67" i="1"/>
  <c r="PU67" i="1"/>
  <c r="FN67" i="1"/>
  <c r="QC67" i="1"/>
  <c r="NZ67" i="1"/>
  <c r="IN67" i="1"/>
  <c r="FO67" i="1"/>
  <c r="FP67" i="1"/>
  <c r="KU67" i="1"/>
  <c r="NI67" i="1"/>
  <c r="BX67" i="1"/>
  <c r="KV67" i="1"/>
  <c r="PW67" i="1"/>
  <c r="PZ67" i="1"/>
  <c r="LA67" i="1"/>
  <c r="MD67" i="1"/>
  <c r="ME67" i="1"/>
  <c r="MG67" i="1"/>
  <c r="FR67" i="1"/>
  <c r="MH67" i="1"/>
  <c r="EV67" i="1"/>
  <c r="HE67" i="1"/>
  <c r="CH10" i="1"/>
  <c r="D67" i="1" l="1"/>
  <c r="D11" i="1"/>
  <c r="D10" i="1" s="1"/>
</calcChain>
</file>

<file path=xl/sharedStrings.xml><?xml version="1.0" encoding="utf-8"?>
<sst xmlns="http://schemas.openxmlformats.org/spreadsheetml/2006/main" count="1790" uniqueCount="1006">
  <si>
    <t>Дэс дугаар</t>
  </si>
  <si>
    <t>2001454 Total</t>
  </si>
  <si>
    <t>2001632 Total</t>
  </si>
  <si>
    <t>2004879 Total</t>
  </si>
  <si>
    <t>2007126 Total</t>
  </si>
  <si>
    <t>2008572 Total</t>
  </si>
  <si>
    <t>2008726 Total</t>
  </si>
  <si>
    <t>2009765 Total</t>
  </si>
  <si>
    <t>2010895 Total</t>
  </si>
  <si>
    <t>2010933 Total</t>
  </si>
  <si>
    <t>2011239 Total</t>
  </si>
  <si>
    <t>2014491 Total</t>
  </si>
  <si>
    <t>2016656 Total</t>
  </si>
  <si>
    <t>2019086 Total</t>
  </si>
  <si>
    <t>2019205 Total</t>
  </si>
  <si>
    <t>2024101 Total</t>
  </si>
  <si>
    <t>2024128 Total</t>
  </si>
  <si>
    <t>2024594 Total</t>
  </si>
  <si>
    <t>2025736 Total</t>
  </si>
  <si>
    <t>2025752 Total</t>
  </si>
  <si>
    <t>2026236 Total</t>
  </si>
  <si>
    <t>2027194 Total</t>
  </si>
  <si>
    <t>2027615 Total</t>
  </si>
  <si>
    <t>2029278 Total</t>
  </si>
  <si>
    <t>2030624 Total</t>
  </si>
  <si>
    <t>2031698 Total</t>
  </si>
  <si>
    <t>2034859 Total</t>
  </si>
  <si>
    <t>2040239 Total</t>
  </si>
  <si>
    <t>2041391 Total</t>
  </si>
  <si>
    <t>2044838 Total</t>
  </si>
  <si>
    <t>2045052 Total</t>
  </si>
  <si>
    <t>2046342 Total</t>
  </si>
  <si>
    <t>2048892 Total</t>
  </si>
  <si>
    <t>2050374 Total</t>
  </si>
  <si>
    <t>2051273 Total</t>
  </si>
  <si>
    <t>2053152 Total</t>
  </si>
  <si>
    <t>2054701 Total</t>
  </si>
  <si>
    <t>2061848 Total</t>
  </si>
  <si>
    <t>2063182 Total</t>
  </si>
  <si>
    <t>2063352 Total</t>
  </si>
  <si>
    <t>2064537 Total</t>
  </si>
  <si>
    <t>2066505 Total</t>
  </si>
  <si>
    <t>2067544 Total</t>
  </si>
  <si>
    <t>2068478 Total</t>
  </si>
  <si>
    <t>2070731 Total</t>
  </si>
  <si>
    <t>2072947 Total</t>
  </si>
  <si>
    <t>2073358 Total</t>
  </si>
  <si>
    <t>2074192 Total</t>
  </si>
  <si>
    <t>2074478 Total</t>
  </si>
  <si>
    <t>2075385 Total</t>
  </si>
  <si>
    <t>2075652 Total</t>
  </si>
  <si>
    <t>2076748 Total</t>
  </si>
  <si>
    <t>2081547 Total</t>
  </si>
  <si>
    <t>2086166 Total</t>
  </si>
  <si>
    <t>2086344 Total</t>
  </si>
  <si>
    <t>2086999 Total</t>
  </si>
  <si>
    <t>2087472 Total</t>
  </si>
  <si>
    <t>2091283 Total</t>
  </si>
  <si>
    <t>2094533 Total</t>
  </si>
  <si>
    <t>2095025 Total</t>
  </si>
  <si>
    <t>2097109 Total</t>
  </si>
  <si>
    <t>2099535 Total</t>
  </si>
  <si>
    <t>2099551 Total</t>
  </si>
  <si>
    <t>2100231 Total</t>
  </si>
  <si>
    <t>2100754 Total</t>
  </si>
  <si>
    <t>2107961 Total</t>
  </si>
  <si>
    <t>2108291 Total</t>
  </si>
  <si>
    <t>2120879 Total</t>
  </si>
  <si>
    <t>2121085 Total</t>
  </si>
  <si>
    <t>2121174 Total</t>
  </si>
  <si>
    <t>2152924 Total</t>
  </si>
  <si>
    <t>2169967 Total</t>
  </si>
  <si>
    <t>2344343 Total</t>
  </si>
  <si>
    <t>2534169 Total</t>
  </si>
  <si>
    <t>2544938 Total</t>
  </si>
  <si>
    <t>2548747 Total</t>
  </si>
  <si>
    <t>2550075 Total</t>
  </si>
  <si>
    <t>2550245 Total</t>
  </si>
  <si>
    <t>2550466 Total</t>
  </si>
  <si>
    <t>2551764 Total</t>
  </si>
  <si>
    <t>2554518 Total</t>
  </si>
  <si>
    <t>2555409 Total</t>
  </si>
  <si>
    <t>2555468 Total</t>
  </si>
  <si>
    <t>2556154 Total</t>
  </si>
  <si>
    <t>2558661 Total</t>
  </si>
  <si>
    <t>2570769 Total</t>
  </si>
  <si>
    <t>2571498 Total</t>
  </si>
  <si>
    <t>2572036 Total</t>
  </si>
  <si>
    <t>2573245 Total</t>
  </si>
  <si>
    <t>2573253 Total</t>
  </si>
  <si>
    <t>2574233 Total</t>
  </si>
  <si>
    <t>2577453 Total</t>
  </si>
  <si>
    <t>2578778 Total</t>
  </si>
  <si>
    <t>2579634 Total</t>
  </si>
  <si>
    <t>2582457 Total</t>
  </si>
  <si>
    <t>2587025 Total</t>
  </si>
  <si>
    <t>2587637 Total</t>
  </si>
  <si>
    <t>2587645 Total</t>
  </si>
  <si>
    <t>2587815 Total</t>
  </si>
  <si>
    <t>2590565 Total</t>
  </si>
  <si>
    <t>2595818 Total</t>
  </si>
  <si>
    <t>2596873 Total</t>
  </si>
  <si>
    <t>2597977 Total</t>
  </si>
  <si>
    <t>2602504 Total</t>
  </si>
  <si>
    <t>2604469 Total</t>
  </si>
  <si>
    <t>2605031 Total</t>
  </si>
  <si>
    <t>2607115 Total</t>
  </si>
  <si>
    <t>2608758 Total</t>
  </si>
  <si>
    <t>2609436 Total</t>
  </si>
  <si>
    <t>2614065 Total</t>
  </si>
  <si>
    <t>2617455 Total</t>
  </si>
  <si>
    <t>2617749 Total</t>
  </si>
  <si>
    <t>2626454 Total</t>
  </si>
  <si>
    <t>2628058 Total</t>
  </si>
  <si>
    <t>2629224 Total</t>
  </si>
  <si>
    <t>2631717 Total</t>
  </si>
  <si>
    <t>2639815 Total</t>
  </si>
  <si>
    <t>2640287 Total</t>
  </si>
  <si>
    <t>2640635 Total</t>
  </si>
  <si>
    <t>2640872 Total</t>
  </si>
  <si>
    <t>2641984 Total</t>
  </si>
  <si>
    <t>2643928 Total</t>
  </si>
  <si>
    <t>2644495 Total</t>
  </si>
  <si>
    <t>2649047 Total</t>
  </si>
  <si>
    <t>2649098 Total</t>
  </si>
  <si>
    <t>2654806 Total</t>
  </si>
  <si>
    <t>2655772 Total</t>
  </si>
  <si>
    <t>2656523 Total</t>
  </si>
  <si>
    <t>2659603 Total</t>
  </si>
  <si>
    <t>2661128 Total</t>
  </si>
  <si>
    <t>2661861 Total</t>
  </si>
  <si>
    <t>2663341 Total</t>
  </si>
  <si>
    <t>2668548 Total</t>
  </si>
  <si>
    <t>2670801 Total</t>
  </si>
  <si>
    <t>2672146 Total</t>
  </si>
  <si>
    <t>2675471 Total</t>
  </si>
  <si>
    <t>2682702 Total</t>
  </si>
  <si>
    <t>2683083 Total</t>
  </si>
  <si>
    <t>2683385 Total</t>
  </si>
  <si>
    <t>2685841 Total</t>
  </si>
  <si>
    <t>2688638 Total</t>
  </si>
  <si>
    <t>2695421 Total</t>
  </si>
  <si>
    <t>2697947 Total</t>
  </si>
  <si>
    <t>2698161 Total</t>
  </si>
  <si>
    <t>2700115 Total</t>
  </si>
  <si>
    <t>2707969 Total</t>
  </si>
  <si>
    <t>2708574 Total</t>
  </si>
  <si>
    <t>2708701 Total</t>
  </si>
  <si>
    <t>2711834 Total</t>
  </si>
  <si>
    <t>2716682 Total</t>
  </si>
  <si>
    <t>2718243 Total</t>
  </si>
  <si>
    <t>2718375 Total</t>
  </si>
  <si>
    <t>2732726 Total</t>
  </si>
  <si>
    <t>2736381 Total</t>
  </si>
  <si>
    <t>2736624 Total</t>
  </si>
  <si>
    <t>2739739 Total</t>
  </si>
  <si>
    <t>2740451 Total</t>
  </si>
  <si>
    <t>2743744 Total</t>
  </si>
  <si>
    <t>2761114 Total</t>
  </si>
  <si>
    <t>2762706 Total</t>
  </si>
  <si>
    <t>2763788 Total</t>
  </si>
  <si>
    <t>2763834 Total</t>
  </si>
  <si>
    <t>2765853 Total</t>
  </si>
  <si>
    <t>2766272 Total</t>
  </si>
  <si>
    <t>2766337 Total</t>
  </si>
  <si>
    <t>2766868 Total</t>
  </si>
  <si>
    <t>2768607 Total</t>
  </si>
  <si>
    <t>2770601 Total</t>
  </si>
  <si>
    <t>2774534 Total</t>
  </si>
  <si>
    <t>2774666 Total</t>
  </si>
  <si>
    <t>2776804 Total</t>
  </si>
  <si>
    <t>2779633 Total</t>
  </si>
  <si>
    <t>2782944 Total</t>
  </si>
  <si>
    <t>2784041 Total</t>
  </si>
  <si>
    <t>2784262 Total</t>
  </si>
  <si>
    <t>2784904 Total</t>
  </si>
  <si>
    <t>2786184 Total</t>
  </si>
  <si>
    <t>2786893 Total</t>
  </si>
  <si>
    <t>2787318 Total</t>
  </si>
  <si>
    <t>2787989 Total</t>
  </si>
  <si>
    <t>2788691 Total</t>
  </si>
  <si>
    <t>2800497 Total</t>
  </si>
  <si>
    <t>2807459 Total</t>
  </si>
  <si>
    <t>2808226 Total</t>
  </si>
  <si>
    <t>2811138 Total</t>
  </si>
  <si>
    <t>2813041 Total</t>
  </si>
  <si>
    <t>2816555 Total</t>
  </si>
  <si>
    <t>2816687 Total</t>
  </si>
  <si>
    <t>2819996 Total</t>
  </si>
  <si>
    <t>2825627 Total</t>
  </si>
  <si>
    <t>2829541 Total</t>
  </si>
  <si>
    <t>2830213 Total</t>
  </si>
  <si>
    <t>2834421 Total</t>
  </si>
  <si>
    <t>2834812 Total</t>
  </si>
  <si>
    <t>2837196 Total</t>
  </si>
  <si>
    <t>2839717 Total</t>
  </si>
  <si>
    <t>2840391 Total</t>
  </si>
  <si>
    <t>2841002 Total</t>
  </si>
  <si>
    <t>2842815 Total</t>
  </si>
  <si>
    <t>2843129 Total</t>
  </si>
  <si>
    <t>2844001 Total</t>
  </si>
  <si>
    <t>2847558 Total</t>
  </si>
  <si>
    <t>2850664 Total</t>
  </si>
  <si>
    <t>2851326 Total</t>
  </si>
  <si>
    <t>2852772 Total</t>
  </si>
  <si>
    <t>2852861 Total</t>
  </si>
  <si>
    <t>2854384 Total</t>
  </si>
  <si>
    <t>2855119 Total</t>
  </si>
  <si>
    <t>2856743 Total</t>
  </si>
  <si>
    <t>2862468 Total</t>
  </si>
  <si>
    <t>2863847 Total</t>
  </si>
  <si>
    <t>2867095 Total</t>
  </si>
  <si>
    <t>2867699 Total</t>
  </si>
  <si>
    <t>2868679 Total</t>
  </si>
  <si>
    <t>2868687 Total</t>
  </si>
  <si>
    <t>2870312 Total</t>
  </si>
  <si>
    <t>2872722 Total</t>
  </si>
  <si>
    <t>2872943 Total</t>
  </si>
  <si>
    <t>2873575 Total</t>
  </si>
  <si>
    <t>2874229 Total</t>
  </si>
  <si>
    <t>2874482 Total</t>
  </si>
  <si>
    <t>2877694 Total</t>
  </si>
  <si>
    <t>2878216 Total</t>
  </si>
  <si>
    <t>2880822 Total</t>
  </si>
  <si>
    <t>2881217 Total</t>
  </si>
  <si>
    <t>2881934 Total</t>
  </si>
  <si>
    <t>2884259 Total</t>
  </si>
  <si>
    <t>2885425 Total</t>
  </si>
  <si>
    <t>2887746 Total</t>
  </si>
  <si>
    <t>3122212 Total</t>
  </si>
  <si>
    <t>3550125 Total</t>
  </si>
  <si>
    <t>4246195 Total</t>
  </si>
  <si>
    <t>4489802 Total</t>
  </si>
  <si>
    <t>5002486 Total</t>
  </si>
  <si>
    <t>5003539 Total</t>
  </si>
  <si>
    <t>5007127 Total</t>
  </si>
  <si>
    <t>5017386 Total</t>
  </si>
  <si>
    <t>5018056 Total</t>
  </si>
  <si>
    <t>5018536 Total</t>
  </si>
  <si>
    <t>5021065 Total</t>
  </si>
  <si>
    <t>5022398 Total</t>
  </si>
  <si>
    <t>5023998 Total</t>
  </si>
  <si>
    <t>5025982 Total</t>
  </si>
  <si>
    <t>5029066 Total</t>
  </si>
  <si>
    <t>5029953 Total</t>
  </si>
  <si>
    <t>5048486 Total</t>
  </si>
  <si>
    <t>5051134 Total</t>
  </si>
  <si>
    <t>5056721 Total</t>
  </si>
  <si>
    <t>5058295 Total</t>
  </si>
  <si>
    <t>5061989 Total</t>
  </si>
  <si>
    <t>5068827 Total</t>
  </si>
  <si>
    <t>5069068 Total</t>
  </si>
  <si>
    <t>5073189 Total</t>
  </si>
  <si>
    <t>5073642 Total</t>
  </si>
  <si>
    <t>5074495 Total</t>
  </si>
  <si>
    <t>5076021 Total</t>
  </si>
  <si>
    <t>5082986 Total</t>
  </si>
  <si>
    <t>5084512 Total</t>
  </si>
  <si>
    <t>5084555 Total</t>
  </si>
  <si>
    <t>5088755 Total</t>
  </si>
  <si>
    <t>5089417 Total</t>
  </si>
  <si>
    <t>5090822 Total</t>
  </si>
  <si>
    <t>5091462 Total</t>
  </si>
  <si>
    <t>5095549 Total</t>
  </si>
  <si>
    <t>5097711 Total</t>
  </si>
  <si>
    <t>5098009 Total</t>
  </si>
  <si>
    <t>5098181 Total</t>
  </si>
  <si>
    <t>5099005 Total</t>
  </si>
  <si>
    <t>5108357 Total</t>
  </si>
  <si>
    <t>5116635 Total</t>
  </si>
  <si>
    <t>5118832 Total</t>
  </si>
  <si>
    <t>5122392 Total</t>
  </si>
  <si>
    <t>5127998 Total</t>
  </si>
  <si>
    <t>5131618 Total</t>
  </si>
  <si>
    <t>5135958 Total</t>
  </si>
  <si>
    <t>5141583 Total</t>
  </si>
  <si>
    <t>5144663 Total</t>
  </si>
  <si>
    <t>5148014 Total</t>
  </si>
  <si>
    <t>5148278 Total</t>
  </si>
  <si>
    <t>5149703 Total</t>
  </si>
  <si>
    <t>5149843 Total</t>
  </si>
  <si>
    <t>5153379 Total</t>
  </si>
  <si>
    <t>5155827 Total</t>
  </si>
  <si>
    <t>5156246 Total</t>
  </si>
  <si>
    <t>5157153 Total</t>
  </si>
  <si>
    <t>5157846 Total</t>
  </si>
  <si>
    <t>5166284 Total</t>
  </si>
  <si>
    <t>5170672 Total</t>
  </si>
  <si>
    <t>5170966 Total</t>
  </si>
  <si>
    <t>5174562 Total</t>
  </si>
  <si>
    <t>5179335 Total</t>
  </si>
  <si>
    <t>5184851 Total</t>
  </si>
  <si>
    <t>5194482 Total</t>
  </si>
  <si>
    <t>5201705 Total</t>
  </si>
  <si>
    <t>5203333 Total</t>
  </si>
  <si>
    <t>5213789 Total</t>
  </si>
  <si>
    <t>5215757 Total</t>
  </si>
  <si>
    <t>5229049 Total</t>
  </si>
  <si>
    <t>5229634 Total</t>
  </si>
  <si>
    <t>5231337 Total</t>
  </si>
  <si>
    <t>5233232 Total</t>
  </si>
  <si>
    <t>5239168 Total</t>
  </si>
  <si>
    <t>5239303 Total</t>
  </si>
  <si>
    <t>5295858 Total</t>
  </si>
  <si>
    <t>Хар тарвагатай</t>
  </si>
  <si>
    <t>Дэвшил-Увс</t>
  </si>
  <si>
    <t>Шивээ-Овоо</t>
  </si>
  <si>
    <t>Баялаг орд</t>
  </si>
  <si>
    <t>Багануур</t>
  </si>
  <si>
    <t>Дэлгэр хангай трейд</t>
  </si>
  <si>
    <t>Хэрлэн-Импекс</t>
  </si>
  <si>
    <t>Найнги</t>
  </si>
  <si>
    <t>Дун-Эрдэнэ</t>
  </si>
  <si>
    <t>Адуун чулуун</t>
  </si>
  <si>
    <t>Баянтээг</t>
  </si>
  <si>
    <t>Тавантолгой</t>
  </si>
  <si>
    <t>Хурай</t>
  </si>
  <si>
    <t>Монгол-Алт</t>
  </si>
  <si>
    <t>Гуравт</t>
  </si>
  <si>
    <t>Кенже</t>
  </si>
  <si>
    <t>Эрдэс налайх</t>
  </si>
  <si>
    <t>Орд трейд</t>
  </si>
  <si>
    <t>Эрэл</t>
  </si>
  <si>
    <t>Монгол газар</t>
  </si>
  <si>
    <t>Мон полимет</t>
  </si>
  <si>
    <t>Морьт хангай</t>
  </si>
  <si>
    <t xml:space="preserve">Могойн Гол </t>
  </si>
  <si>
    <t>Авдар баян</t>
  </si>
  <si>
    <t>Мон-Элс</t>
  </si>
  <si>
    <t>Т энд Ч</t>
  </si>
  <si>
    <t>Гео-Эрэл</t>
  </si>
  <si>
    <t>Монголын гэгээ</t>
  </si>
  <si>
    <t>Шарын гол</t>
  </si>
  <si>
    <t>Тэгшхан</t>
  </si>
  <si>
    <t>Штн Нэгдэл</t>
  </si>
  <si>
    <t>Гацуурт</t>
  </si>
  <si>
    <t>Дацан трейд</t>
  </si>
  <si>
    <t>Бэрэн Групп</t>
  </si>
  <si>
    <t>Алтан шагай</t>
  </si>
  <si>
    <t>Одод</t>
  </si>
  <si>
    <t>Мон ажнай</t>
  </si>
  <si>
    <t>Сонсголон бармат</t>
  </si>
  <si>
    <t>Сантхаан</t>
  </si>
  <si>
    <t>Шижир-алт</t>
  </si>
  <si>
    <t>Эрдмин</t>
  </si>
  <si>
    <t>Эм Энд Даймонд</t>
  </si>
  <si>
    <t>Петрочайна дачин тамсаг</t>
  </si>
  <si>
    <t>Бумбат</t>
  </si>
  <si>
    <t>Жамп</t>
  </si>
  <si>
    <t>Жамп-Алт</t>
  </si>
  <si>
    <t>Эрэлчин</t>
  </si>
  <si>
    <t>Одцэ</t>
  </si>
  <si>
    <t>Гурван-Эвтэн</t>
  </si>
  <si>
    <t>Монгол керамик</t>
  </si>
  <si>
    <t>Бороо гоулд</t>
  </si>
  <si>
    <t>Монгол Алт Мак</t>
  </si>
  <si>
    <t>Цогт онон</t>
  </si>
  <si>
    <t>Рич могол</t>
  </si>
  <si>
    <t>Багатаян</t>
  </si>
  <si>
    <t>Хос хас</t>
  </si>
  <si>
    <t>Буд-Инвест</t>
  </si>
  <si>
    <t>Сентеррагоулд монголиа</t>
  </si>
  <si>
    <t>Хилийн цэргийн 119-р анги</t>
  </si>
  <si>
    <t>Улаан начин</t>
  </si>
  <si>
    <t>Эрдэс-Увс</t>
  </si>
  <si>
    <t>Гэрэлт-Орд</t>
  </si>
  <si>
    <t>Идэр хайрхан</t>
  </si>
  <si>
    <t>Улзгол</t>
  </si>
  <si>
    <t>Шохой цагаан булаг</t>
  </si>
  <si>
    <t>Дунар-Од</t>
  </si>
  <si>
    <t>Цайрт минерал</t>
  </si>
  <si>
    <t>Би Би энд Эс</t>
  </si>
  <si>
    <t>Монгол болгар гео</t>
  </si>
  <si>
    <t>Монголросцветмет</t>
  </si>
  <si>
    <t>Баян эрдэс</t>
  </si>
  <si>
    <t>Мондулаан трейд</t>
  </si>
  <si>
    <t>АШБ</t>
  </si>
  <si>
    <t>Уянган</t>
  </si>
  <si>
    <t>Шагай</t>
  </si>
  <si>
    <t>Ди Зэт анд Ай</t>
  </si>
  <si>
    <t>Коулд голд монгол</t>
  </si>
  <si>
    <t>Ю Энд Би</t>
  </si>
  <si>
    <t>Тунамалшижир</t>
  </si>
  <si>
    <t>Хонгорын орд</t>
  </si>
  <si>
    <t>Жи Би Лийз</t>
  </si>
  <si>
    <t>МЕС</t>
  </si>
  <si>
    <t>Цэвдэг</t>
  </si>
  <si>
    <t>Золотой Виктория</t>
  </si>
  <si>
    <t>СС монголиа</t>
  </si>
  <si>
    <t>Аниш</t>
  </si>
  <si>
    <t>Сонор трейд</t>
  </si>
  <si>
    <t>Их Монгол Шувуу</t>
  </si>
  <si>
    <t>Агит хангай</t>
  </si>
  <si>
    <t>Толгойтын гол</t>
  </si>
  <si>
    <t>Эхийн сэтгэл</t>
  </si>
  <si>
    <t>Цагаан ташаа</t>
  </si>
  <si>
    <t>Шанд ундарга</t>
  </si>
  <si>
    <t>Хан шижир</t>
  </si>
  <si>
    <t>Баянтэгш импекс</t>
  </si>
  <si>
    <t>Талбулаг Трейд</t>
  </si>
  <si>
    <t>Эрдэнэсмайнинг</t>
  </si>
  <si>
    <t>Кожеговь</t>
  </si>
  <si>
    <t>Баруун монголын металл</t>
  </si>
  <si>
    <t>Идэр монгол</t>
  </si>
  <si>
    <t>Хамар зам</t>
  </si>
  <si>
    <t>Тэвшийн говь</t>
  </si>
  <si>
    <t>Очирууд</t>
  </si>
  <si>
    <t>Барилга орд</t>
  </si>
  <si>
    <t>Сант гэсэр</t>
  </si>
  <si>
    <t>Цемент шохой</t>
  </si>
  <si>
    <t>Бэрх-Уул</t>
  </si>
  <si>
    <t>Аварга тосон хэнтий</t>
  </si>
  <si>
    <t>Монгор тех</t>
  </si>
  <si>
    <t>Эж-Эрдэнэ</t>
  </si>
  <si>
    <t>Эрчим-Импекс</t>
  </si>
  <si>
    <t>Эрдэс холдинг</t>
  </si>
  <si>
    <t>Очир-Ундраа</t>
  </si>
  <si>
    <t>Хотгор</t>
  </si>
  <si>
    <t>Эргэмэг</t>
  </si>
  <si>
    <t>Гоулд-лэнд</t>
  </si>
  <si>
    <t>Заамарын Их Алт</t>
  </si>
  <si>
    <t>Адамас майнинг</t>
  </si>
  <si>
    <t>Жи энд Юу Голд</t>
  </si>
  <si>
    <t>Дархан алтан туул</t>
  </si>
  <si>
    <t>Арвинхад</t>
  </si>
  <si>
    <t>Арвин-Од</t>
  </si>
  <si>
    <t>Коммод</t>
  </si>
  <si>
    <t>Монжап-интернэйшнл</t>
  </si>
  <si>
    <t>Монлид трейд</t>
  </si>
  <si>
    <t>Чинхуа мак нарийн сухайт</t>
  </si>
  <si>
    <t>Капитал авто сервис</t>
  </si>
  <si>
    <t>Гэрэлт гурван од</t>
  </si>
  <si>
    <t>Адил-оч</t>
  </si>
  <si>
    <t>Таван Хангал Трейд</t>
  </si>
  <si>
    <t>Баян айраг эксплорэйшн</t>
  </si>
  <si>
    <t>Зоос гоулд</t>
  </si>
  <si>
    <t>Ти энд Ти юникс</t>
  </si>
  <si>
    <t>Эрдэнэ монгол</t>
  </si>
  <si>
    <t>Хуалян</t>
  </si>
  <si>
    <t>Иххан уул</t>
  </si>
  <si>
    <t>Булган-Инвест</t>
  </si>
  <si>
    <t>Эм Жи Эйч</t>
  </si>
  <si>
    <t>Мон вольфрам</t>
  </si>
  <si>
    <t>Мон триумф</t>
  </si>
  <si>
    <t>Нун</t>
  </si>
  <si>
    <t>ХОТУ</t>
  </si>
  <si>
    <t>Ордос трейд</t>
  </si>
  <si>
    <t>Ай эс Ти констракшн</t>
  </si>
  <si>
    <t>Дон Шен Газрын Тос</t>
  </si>
  <si>
    <t>Мега пласт Монголиа</t>
  </si>
  <si>
    <t>Шижир талст</t>
  </si>
  <si>
    <t>Баялаг Газар</t>
  </si>
  <si>
    <t>Ноён Тохой Трейд</t>
  </si>
  <si>
    <t>Хан ресорсез</t>
  </si>
  <si>
    <t>Олова</t>
  </si>
  <si>
    <t>Илчит металл</t>
  </si>
  <si>
    <t>Их тохойрол</t>
  </si>
  <si>
    <t>Шанлун</t>
  </si>
  <si>
    <t>ЦДЦ</t>
  </si>
  <si>
    <t>Хан Хас Трейд</t>
  </si>
  <si>
    <t>Эрхэс майнинг</t>
  </si>
  <si>
    <t>Шим технолоджи</t>
  </si>
  <si>
    <t>Чулуут-Интернэшнл</t>
  </si>
  <si>
    <t>Тефис Майнинг</t>
  </si>
  <si>
    <t>Монрос пром Уголь</t>
  </si>
  <si>
    <t>Дриймлэнд</t>
  </si>
  <si>
    <t>Уулс заамар</t>
  </si>
  <si>
    <t>Монгол   руд пром</t>
  </si>
  <si>
    <t>Мон Тиандэ</t>
  </si>
  <si>
    <t>Шинь Шинь</t>
  </si>
  <si>
    <t>Вестерн Простектор Монголиа</t>
  </si>
  <si>
    <t>Чайлдсан</t>
  </si>
  <si>
    <t>Жаргалант  минерал</t>
  </si>
  <si>
    <t>Ди Жи Эм</t>
  </si>
  <si>
    <t>Скарн</t>
  </si>
  <si>
    <t>Арвин хур</t>
  </si>
  <si>
    <t>Пауэр лэнд</t>
  </si>
  <si>
    <t>Кайнар вольфрам</t>
  </si>
  <si>
    <t>Хана Голд Энд Жэм Монголиа</t>
  </si>
  <si>
    <t>Цэнэговь</t>
  </si>
  <si>
    <t>Монжин далай</t>
  </si>
  <si>
    <t>Шарын гол энерго</t>
  </si>
  <si>
    <t>Тахир гол</t>
  </si>
  <si>
    <t>Гоби Коул энд Энержи</t>
  </si>
  <si>
    <t>Анхай-Интернэшнл</t>
  </si>
  <si>
    <t>Петро Матад</t>
  </si>
  <si>
    <t>Тунсинь</t>
  </si>
  <si>
    <t>Уулсноён</t>
  </si>
  <si>
    <t>Шинэ-Эрдэс</t>
  </si>
  <si>
    <t>Тод Ундрага</t>
  </si>
  <si>
    <t>Аниан ресорсиз</t>
  </si>
  <si>
    <t>Баялаг жонш</t>
  </si>
  <si>
    <t>Алтай голд</t>
  </si>
  <si>
    <t>Полимет монголд</t>
  </si>
  <si>
    <t>Монсас-Интернэшнл</t>
  </si>
  <si>
    <t>Хансул</t>
  </si>
  <si>
    <t>Хунан жинлэн</t>
  </si>
  <si>
    <t>Шидэт-Од</t>
  </si>
  <si>
    <t>Гео Гоулд</t>
  </si>
  <si>
    <t>Энержи ресурс</t>
  </si>
  <si>
    <t>Баялаг богд</t>
  </si>
  <si>
    <t>Цозгор</t>
  </si>
  <si>
    <t>Алх чулуу</t>
  </si>
  <si>
    <t>Жинхуа орд</t>
  </si>
  <si>
    <t>Нордвинд</t>
  </si>
  <si>
    <t>Бэрлэг майнинг</t>
  </si>
  <si>
    <t>Хоргын чулуу</t>
  </si>
  <si>
    <t>Рео</t>
  </si>
  <si>
    <t>Эм Жи Би</t>
  </si>
  <si>
    <t>Аревамонгол</t>
  </si>
  <si>
    <t>Баян-Эрч</t>
  </si>
  <si>
    <t>Булуу цагаан Хайрхан</t>
  </si>
  <si>
    <t>Хишиг-Оргилуун</t>
  </si>
  <si>
    <t>Лучеро</t>
  </si>
  <si>
    <t>Монгол чех металл</t>
  </si>
  <si>
    <t>АУМ</t>
  </si>
  <si>
    <t>Элтрана</t>
  </si>
  <si>
    <t>Хатан цацал</t>
  </si>
  <si>
    <t>Рэдхил Монголиа</t>
  </si>
  <si>
    <t>Илтгоулд</t>
  </si>
  <si>
    <t>Урт Хошуу</t>
  </si>
  <si>
    <t>Эрдэнэ линк</t>
  </si>
  <si>
    <t>ЖМЭ</t>
  </si>
  <si>
    <t>Миндуо тайди</t>
  </si>
  <si>
    <t>Флинк монголиа</t>
  </si>
  <si>
    <t>Саус гоби сэндс</t>
  </si>
  <si>
    <t>Жунзэнь</t>
  </si>
  <si>
    <t>Жотойн бажууна</t>
  </si>
  <si>
    <t>Хэмчиг голд</t>
  </si>
  <si>
    <t>Булган гангат</t>
  </si>
  <si>
    <t>ОАЭ</t>
  </si>
  <si>
    <t>ГБМБ</t>
  </si>
  <si>
    <t>Эй Кэй Эм Юу</t>
  </si>
  <si>
    <t>Олон овоот гоулд</t>
  </si>
  <si>
    <t>МБГЦ</t>
  </si>
  <si>
    <t>Эхдэлхий шинтай</t>
  </si>
  <si>
    <t>Гаррисон-Азия</t>
  </si>
  <si>
    <t>Жи Жи Эс Эс</t>
  </si>
  <si>
    <t>Зуунмод уул</t>
  </si>
  <si>
    <t>МОЭНКО</t>
  </si>
  <si>
    <t>Шин дунфан</t>
  </si>
  <si>
    <t>Сэншивэе Монгол</t>
  </si>
  <si>
    <t>Шаншимэжо</t>
  </si>
  <si>
    <t>Пенинсула майнинг</t>
  </si>
  <si>
    <t>Бадамлах Очир</t>
  </si>
  <si>
    <t>Алмаз групп</t>
  </si>
  <si>
    <t>Петро коал</t>
  </si>
  <si>
    <t>Голден тайга</t>
  </si>
  <si>
    <t>Трейжа Маунтайн Интернэшнл Май</t>
  </si>
  <si>
    <t>Найн гоулд интернэйшнл</t>
  </si>
  <si>
    <t>Пи боди винсвэй ресорсез</t>
  </si>
  <si>
    <t>АФК ТАВТ</t>
  </si>
  <si>
    <t>Эй Би Ди И</t>
  </si>
  <si>
    <t>Ялумба</t>
  </si>
  <si>
    <t>Эс Би Эф</t>
  </si>
  <si>
    <t>Голден орд Майнинг</t>
  </si>
  <si>
    <t>Их-Ачмаг</t>
  </si>
  <si>
    <t>Золотая корона</t>
  </si>
  <si>
    <t>Нью Хаппи</t>
  </si>
  <si>
    <t>Кормон майн хаус</t>
  </si>
  <si>
    <t>Чамин-Алт</t>
  </si>
  <si>
    <t>Ноён гари</t>
  </si>
  <si>
    <t>Монгол метал майнинг</t>
  </si>
  <si>
    <t>Мэня Куан ие</t>
  </si>
  <si>
    <t>Спейшл майнз</t>
  </si>
  <si>
    <t>Хонг чангли</t>
  </si>
  <si>
    <t>Амин цэцэг</t>
  </si>
  <si>
    <t>Силикат</t>
  </si>
  <si>
    <t>Түшиг-Уул</t>
  </si>
  <si>
    <t>Сайном голд монгол</t>
  </si>
  <si>
    <t>Монспар</t>
  </si>
  <si>
    <t>Говьшоо</t>
  </si>
  <si>
    <t xml:space="preserve">Эм Си Ти Ти </t>
  </si>
  <si>
    <t>Шарын гол трейдинг</t>
  </si>
  <si>
    <t xml:space="preserve">Айвенхоу майнз Монголия инк </t>
  </si>
  <si>
    <t>Тээлийн шонхор</t>
  </si>
  <si>
    <t>Шар нарст</t>
  </si>
  <si>
    <t xml:space="preserve">Мөнх майнинг </t>
  </si>
  <si>
    <t>Бэрх ресорсиз</t>
  </si>
  <si>
    <t>И Эй Эм хөх адар</t>
  </si>
  <si>
    <t>Сод-Ертөнц</t>
  </si>
  <si>
    <t>Эс Кью Эс</t>
  </si>
  <si>
    <t>Адамас маунтин</t>
  </si>
  <si>
    <t>Хул морьт майнинг</t>
  </si>
  <si>
    <t>Баярс гоулд</t>
  </si>
  <si>
    <t>Марко поло</t>
  </si>
  <si>
    <t>Афро азия минералз</t>
  </si>
  <si>
    <t>Ашиан лийд</t>
  </si>
  <si>
    <t>Доурадо</t>
  </si>
  <si>
    <t>Хаан гарди</t>
  </si>
  <si>
    <t>Ди Кю И интернейшнл Монгол</t>
  </si>
  <si>
    <t>Хуади куонеэ</t>
  </si>
  <si>
    <t>ОНТРЭ</t>
  </si>
  <si>
    <t>Монгол цамхаг</t>
  </si>
  <si>
    <t>Брэйв харт ресорсиз</t>
  </si>
  <si>
    <t>Эйч Би Си</t>
  </si>
  <si>
    <t>Тундер клап</t>
  </si>
  <si>
    <t>Гови екслэнд монголия</t>
  </si>
  <si>
    <t>Туул-Оюут</t>
  </si>
  <si>
    <t>Тэнгри петро чемикалс</t>
  </si>
  <si>
    <t>Говь мастер</t>
  </si>
  <si>
    <t>Шинэ шуудан</t>
  </si>
  <si>
    <t>Арвижихмандал</t>
  </si>
  <si>
    <t>Мега майнз монголиа</t>
  </si>
  <si>
    <t>Би Эйч Эм</t>
  </si>
  <si>
    <t>Мик майнинг</t>
  </si>
  <si>
    <t>Дорнын шим</t>
  </si>
  <si>
    <t>Монлаа</t>
  </si>
  <si>
    <t>БС Санчир</t>
  </si>
  <si>
    <t>Жем-Интернэшнл</t>
  </si>
  <si>
    <t>Агм майнинг</t>
  </si>
  <si>
    <t>Азиа гоулд монголиа</t>
  </si>
  <si>
    <t>Болд фоарда</t>
  </si>
  <si>
    <t>Чингисийн хар алт</t>
  </si>
  <si>
    <t>Эрдэнэс МГЛ</t>
  </si>
  <si>
    <t>Шижир Аринжин</t>
  </si>
  <si>
    <t>Жи Зэй Эм Кэй</t>
  </si>
  <si>
    <t>Цэнгэг орог</t>
  </si>
  <si>
    <t>Андын илч</t>
  </si>
  <si>
    <t>Айвуун тэс</t>
  </si>
  <si>
    <t>Оюуны хишиг</t>
  </si>
  <si>
    <t>Ододгоулд</t>
  </si>
  <si>
    <t>Мандал-Алтай групп</t>
  </si>
  <si>
    <t>Монгол жүюаньли</t>
  </si>
  <si>
    <t>Эм Си Си Эм</t>
  </si>
  <si>
    <t>Минг хонгда</t>
  </si>
  <si>
    <t xml:space="preserve">Хангад-Эксплорэйшн </t>
  </si>
  <si>
    <t>Гео сигналс</t>
  </si>
  <si>
    <t>Кью Жи Экс монгол</t>
  </si>
  <si>
    <t>Геосан</t>
  </si>
  <si>
    <t>Жинди зи юиан</t>
  </si>
  <si>
    <t>Нийслэл-Өргөө</t>
  </si>
  <si>
    <t>Кевин-Инвест</t>
  </si>
  <si>
    <t>Самех</t>
  </si>
  <si>
    <t>Лон шэнда</t>
  </si>
  <si>
    <t>Хүрэм- тийн хяр</t>
  </si>
  <si>
    <t>Говьгео</t>
  </si>
  <si>
    <t>Голден погада</t>
  </si>
  <si>
    <t>Нью саймин рисорсэс</t>
  </si>
  <si>
    <t>Жин тайхэ</t>
  </si>
  <si>
    <t>Идэр гоулд</t>
  </si>
  <si>
    <t>Си Эм Кей Ай</t>
  </si>
  <si>
    <t>Талст орчлон</t>
  </si>
  <si>
    <t>Баянмодот-Уул</t>
  </si>
  <si>
    <t xml:space="preserve">Шувуун-Уул </t>
  </si>
  <si>
    <t>Монгол хан хоршоо</t>
  </si>
  <si>
    <t>Шиба</t>
  </si>
  <si>
    <t>Мон сөнөд</t>
  </si>
  <si>
    <t>Дархан Молор Эрдэнэ</t>
  </si>
  <si>
    <t>Эн Пи Ай</t>
  </si>
  <si>
    <t>М Си  Эс</t>
  </si>
  <si>
    <t>Зон хэн юу тиан</t>
  </si>
  <si>
    <t>Гоби Энержи партнерс</t>
  </si>
  <si>
    <t>Капкорп</t>
  </si>
  <si>
    <t>Шейман</t>
  </si>
  <si>
    <t>Хустай ерөө</t>
  </si>
  <si>
    <t>Хотын зам</t>
  </si>
  <si>
    <t>Монголиа девелопмент ресорсес</t>
  </si>
  <si>
    <t>Сон гоулд</t>
  </si>
  <si>
    <t>МЭАТ</t>
  </si>
  <si>
    <t>Сэлэнгэ майнинг</t>
  </si>
  <si>
    <t>ДБТХ</t>
  </si>
  <si>
    <t>Далан булаг трейд</t>
  </si>
  <si>
    <t xml:space="preserve">Говь хурах </t>
  </si>
  <si>
    <t>Нью флюорид</t>
  </si>
  <si>
    <t>Тайшэн девелоп тегт</t>
  </si>
  <si>
    <t>Болор жонш</t>
  </si>
  <si>
    <t>Хан дээж</t>
  </si>
  <si>
    <t>Оюутбэл</t>
  </si>
  <si>
    <t>Тэвшийн нүүрс</t>
  </si>
  <si>
    <t>Жоншт газар</t>
  </si>
  <si>
    <t>Нуклер Энержи</t>
  </si>
  <si>
    <t>Бэрэн майнинг</t>
  </si>
  <si>
    <t>Чинбөлай</t>
  </si>
  <si>
    <t xml:space="preserve">Өгөөмөр газар </t>
  </si>
  <si>
    <t>Лугийн гол</t>
  </si>
  <si>
    <t>Энцэр</t>
  </si>
  <si>
    <t>Үнэт эрдэнэ</t>
  </si>
  <si>
    <t>Ява-Оникс</t>
  </si>
  <si>
    <t>Алтан дорнод монгол</t>
  </si>
  <si>
    <t>Нью-Опем</t>
  </si>
  <si>
    <t>Могол интэрнэшнл</t>
  </si>
  <si>
    <t>Лхагва жин</t>
  </si>
  <si>
    <t>Бумбат ресорсес</t>
  </si>
  <si>
    <t>Номун богд</t>
  </si>
  <si>
    <t>Орчлон-Орд</t>
  </si>
  <si>
    <t>Өнгөт-Оюу</t>
  </si>
  <si>
    <t>Ментую</t>
  </si>
  <si>
    <t>Бүркит корпораци</t>
  </si>
  <si>
    <t>Сод маргад</t>
  </si>
  <si>
    <t>Каверн болд</t>
  </si>
  <si>
    <t>Луже-Орд</t>
  </si>
  <si>
    <t>Хожуулын эх</t>
  </si>
  <si>
    <t>Шинхэн хайрхан</t>
  </si>
  <si>
    <t>ЗБАА</t>
  </si>
  <si>
    <t>Эс Ар Эм Соломон</t>
  </si>
  <si>
    <t>Их монгол майнинг</t>
  </si>
  <si>
    <t>МУУБ</t>
  </si>
  <si>
    <t>Эрдэнэ жас</t>
  </si>
  <si>
    <t>Самтан морес</t>
  </si>
  <si>
    <t>Деронг монголиа</t>
  </si>
  <si>
    <t>Шинсан хөкуане</t>
  </si>
  <si>
    <t>Алтарганахайрхан</t>
  </si>
  <si>
    <t>УБТТТ</t>
  </si>
  <si>
    <t>Эпидот</t>
  </si>
  <si>
    <t>Би Эс Ай</t>
  </si>
  <si>
    <t>Юниверсал коппер</t>
  </si>
  <si>
    <t>Ти Ар Ай Эм Эм</t>
  </si>
  <si>
    <t>Арзүүн гол</t>
  </si>
  <si>
    <t>Интер глобал</t>
  </si>
  <si>
    <t>Рио-Ад</t>
  </si>
  <si>
    <t>Никуайро</t>
  </si>
  <si>
    <t>Эф Эйч Эл</t>
  </si>
  <si>
    <t>Дөрвөн их эе</t>
  </si>
  <si>
    <t>Эм Өү Өү Ай Си Өү</t>
  </si>
  <si>
    <t>Эринговь</t>
  </si>
  <si>
    <t>Эрдэнийн эрдэнэс</t>
  </si>
  <si>
    <t>Үринара</t>
  </si>
  <si>
    <t>Собт трейд</t>
  </si>
  <si>
    <t>Ди Ви Жи Эйч</t>
  </si>
  <si>
    <t>Гурван талст</t>
  </si>
  <si>
    <t>Баярс констракшн</t>
  </si>
  <si>
    <t>Голден трайнгле</t>
  </si>
  <si>
    <t>Дадизи  юиан</t>
  </si>
  <si>
    <t>Голден крос</t>
  </si>
  <si>
    <t>Говиекс монголиа</t>
  </si>
  <si>
    <t>Зост ресорсиз</t>
  </si>
  <si>
    <t>ÕÊ</t>
  </si>
  <si>
    <t>ХК</t>
  </si>
  <si>
    <t>ХХК</t>
  </si>
  <si>
    <t>гадаад</t>
  </si>
  <si>
    <t>Өмчийн хэлбэр</t>
  </si>
  <si>
    <t>Б. ҮНДСЭН МЭДЭЭЛЭЛ</t>
  </si>
  <si>
    <t>1.1.1</t>
  </si>
  <si>
    <t>1.1.2</t>
  </si>
  <si>
    <t>Гаалийн албан татвар</t>
  </si>
  <si>
    <t>1.1.3</t>
  </si>
  <si>
    <t>Нэмэгдсэн өртгийн албан татвар</t>
  </si>
  <si>
    <t>1.1.4</t>
  </si>
  <si>
    <t xml:space="preserve"> </t>
  </si>
  <si>
    <t>1.1.5</t>
  </si>
  <si>
    <t>1.1.6</t>
  </si>
  <si>
    <t>1.1.7</t>
  </si>
  <si>
    <t>`</t>
  </si>
  <si>
    <t xml:space="preserve">         </t>
  </si>
  <si>
    <t>1.1.8</t>
  </si>
  <si>
    <t>1.1.9</t>
  </si>
  <si>
    <t>Цөмийн төхөөрөмж барих, өөрчлөх, шинэчлэх, ашилалтаас гаргах, ашиглах тусгай зөвшөөрлийн улсын тэмдэгтийн хураамж</t>
  </si>
  <si>
    <t>1.1.10</t>
  </si>
  <si>
    <t>Цөмийн бодис эзэмших, ашиглах, худалдах, импортлох, экспортлох, тээвэрлэх, хаягдлыг булах тусгай зөвшөөрлийн улсын тэмдэгтийн хураамж</t>
  </si>
  <si>
    <t>1.1.11</t>
  </si>
  <si>
    <t>Цацраг идэвхт ашигт малтмал импортлох, экспортлох, тээвэрлэх, хаягдлыг булах, ашиглалтын дараа газар нөхөн сэргээх тусгай зөвшөөрлийн хураах тэмдэгтийн хураамж</t>
  </si>
  <si>
    <t>1.1.12</t>
  </si>
  <si>
    <t>Цацрагийн үүсгүүрийг эзэмших, ашиглах, худалдах, угсрах, байрлуулах, түрээслэх, үйлдвэрлэх, ашиглалтаас гаргах, задлах, хадгалах, тээвэрлэх, импортлох, экспортлох, хаягдлыг булах, идэвхийг сулруулах болон түүнтэй холбогдсон бусад үйл ажиллагаа эрхлэх тусгай зөвшөөрлийн улсын тэмдэгтийн хураамж</t>
  </si>
  <si>
    <t>1.1.13</t>
  </si>
  <si>
    <t xml:space="preserve">Аж ахуйн нэгжээс төлсөн ажиллагчдын нийгмийн болон эрүүл мэндийн даатгалын шимтгэл </t>
  </si>
  <si>
    <t>1.2.1</t>
  </si>
  <si>
    <t>1.2.2</t>
  </si>
  <si>
    <t>1.2.3</t>
  </si>
  <si>
    <t>Бүтээгдэхүүн хуваах гэрээнд тухайн жилд гарын үсэг зурсны урамшуулал</t>
  </si>
  <si>
    <t>1.2.4</t>
  </si>
  <si>
    <t xml:space="preserve">Бүтээгдэхүүн хуваах гэрээгээр олборлолт эхэлсний урамшуулал             </t>
  </si>
  <si>
    <t>1.2.5</t>
  </si>
  <si>
    <t>Бүтээгдэхүүн хуваах гэрээгээр тухайн жилд төвлөрүүлсэн сургалтын урамшуулал</t>
  </si>
  <si>
    <t>1.2.6</t>
  </si>
  <si>
    <t>Бүтээгдэхүүн хуваах гэрээнд заасан нөхцлийн дагуу төвлөрүүлсэн талбайн дэнчин</t>
  </si>
  <si>
    <t xml:space="preserve">                                                          </t>
  </si>
  <si>
    <t>1.2.7</t>
  </si>
  <si>
    <t xml:space="preserve">Бүтээгдэхүүн хуваах гэрээнд заасан нөхцлийн дагуу төвлөрүүлсэн захиргааны үйлчилгээний шимтгэл </t>
  </si>
  <si>
    <t>1.2.8</t>
  </si>
  <si>
    <t>Бүтээгдэхүүн хуваах гэрээнд заасан нөхцлийн дагуу төлөөлөгчийн газрын үйл ажиллагааг дэмжсэн төлбөр</t>
  </si>
  <si>
    <t>1.2.9</t>
  </si>
  <si>
    <t>Агаарын бохирдлын төлбөр</t>
  </si>
  <si>
    <t>1.3.1</t>
  </si>
  <si>
    <t>Гаалийн үйлчилгээний хураамж</t>
  </si>
  <si>
    <t>1.3.2</t>
  </si>
  <si>
    <t xml:space="preserve">Яам, төрийн захиргааны байгууллагад төлсөн тэмдэгтийн хураамж </t>
  </si>
  <si>
    <t>1.3.3</t>
  </si>
  <si>
    <t>Яам, төрийн захиргааны төв байгууллагад төлсөн үйлчилгээний хөлс</t>
  </si>
  <si>
    <t>1.3.4</t>
  </si>
  <si>
    <t>Гадаадын ажиллах хүч, мэргэжилтний үйлчилгээний хураамж</t>
  </si>
  <si>
    <t>1.4.1</t>
  </si>
  <si>
    <t>1.5.1</t>
  </si>
  <si>
    <t>1.5.2</t>
  </si>
  <si>
    <t>Үүнээс рояльти</t>
  </si>
  <si>
    <t>1.6.1</t>
  </si>
  <si>
    <t>Торгууль</t>
  </si>
  <si>
    <t>2.1.1</t>
  </si>
  <si>
    <t>Үл хөдлөх эд хөрөнгийн албан татвар</t>
  </si>
  <si>
    <t>2.1.2</t>
  </si>
  <si>
    <t>Автотээвэр, өөрөө явагч хэрэгслийн албан татвар</t>
  </si>
  <si>
    <t>2.1.3</t>
  </si>
  <si>
    <t>2.2.1</t>
  </si>
  <si>
    <t>2.2.2</t>
  </si>
  <si>
    <t>2.2.3</t>
  </si>
  <si>
    <t>2.2.4</t>
  </si>
  <si>
    <t>2.2.5</t>
  </si>
  <si>
    <t>2.2.6</t>
  </si>
  <si>
    <t>Бүтээгдэхүүн хуваах гэрээний дагуу хүлээн авсан дэмжлэг</t>
  </si>
  <si>
    <t>2.2.7</t>
  </si>
  <si>
    <t>Ашигт малтмалаас бусад байгалийн баялаг ашиглахад олгох эрхийн зөвшөөрлийн хураамж</t>
  </si>
  <si>
    <t>2.3.1</t>
  </si>
  <si>
    <t xml:space="preserve">Орон нутгийн төсөвт хүлээн авсан тэмдэгтийн хураамж </t>
  </si>
  <si>
    <t>2.3.2</t>
  </si>
  <si>
    <t>Нутгийн захиргааны байгууллагын хүлээн авсан үйлчилгээний хөлс</t>
  </si>
  <si>
    <t>2.4 Орон нутгийн төрийн өмчийн ногдол ашиг</t>
  </si>
  <si>
    <t>2.4.1</t>
  </si>
  <si>
    <t>Орон нутгийн төрийн өмчийн ногдол ашиг</t>
  </si>
  <si>
    <t xml:space="preserve">Бусад </t>
  </si>
  <si>
    <t>2.5.1</t>
  </si>
  <si>
    <t>3. Бусад  орлого</t>
  </si>
  <si>
    <t>3.2.1</t>
  </si>
  <si>
    <t>3.2.2</t>
  </si>
  <si>
    <t>3.2.3</t>
  </si>
  <si>
    <t>3.2.4</t>
  </si>
  <si>
    <t>3.2.5</t>
  </si>
  <si>
    <t>3.2.6</t>
  </si>
  <si>
    <t>3.2.7</t>
  </si>
  <si>
    <t>3.2.8</t>
  </si>
  <si>
    <t xml:space="preserve">В. САЙН ДУРЫН МЭДЭЭЛЭЛ </t>
  </si>
  <si>
    <t>Төрийн бус байгууллагын авсан</t>
  </si>
  <si>
    <t>Бусад аж ахуйн нэгж, байгууллагын авсан</t>
  </si>
  <si>
    <t>Иргэдээс авсан</t>
  </si>
  <si>
    <t xml:space="preserve">Ìîíãîë Óëñûí Ñàíãèéí ÿàìíû òºðèéí íàðèéí </t>
  </si>
  <si>
    <t xml:space="preserve">Íÿãòëàí áîäîõ á¿ðòãýëèéí áîäëîãûí </t>
  </si>
  <si>
    <t>Ä.Áàòòºð</t>
  </si>
  <si>
    <t>Ñ.Ìÿãìàðäàø</t>
  </si>
  <si>
    <t>Æ.Èâýýëýí</t>
  </si>
  <si>
    <t>Эмээлт майнз</t>
  </si>
  <si>
    <t>Миранф моорид</t>
  </si>
  <si>
    <t>áè÷ãèéí äàðãà                           /...................................................../</t>
  </si>
  <si>
    <t>ãàçðûí äàðãà                            /....................................................../</t>
  </si>
  <si>
    <t>ãàçðûí ìýðãýæèëòýí               /…………………………………….../</t>
  </si>
  <si>
    <t>2011 îíû 8 äóãààð ñàðûí 3</t>
  </si>
  <si>
    <t xml:space="preserve">Ашигт малтмал, газрын тосны хайгуул, олборлолт эрхэлдэг аж ахуйн нэгжээс улсын </t>
  </si>
  <si>
    <r>
      <t> </t>
    </r>
    <r>
      <rPr>
        <sz val="11"/>
        <color theme="1"/>
        <rFont val="Calibri"/>
        <family val="2"/>
      </rPr>
      <t xml:space="preserve">                                                                                                                                                                                                                                                                                                                                                                                                                                                                                                                                                                                                                                                                                                                                                                                                                                                                            </t>
    </r>
  </si>
  <si>
    <t>болон орон нутгийн төсөвт төвлөрүүлсэн татвар, хураамж, зардлын 2010 оны тайлан</t>
  </si>
  <si>
    <t>үндсэн мэдээлэл</t>
  </si>
  <si>
    <t xml:space="preserve">Регистрийн дугаар </t>
  </si>
  <si>
    <t>нийт дүн</t>
  </si>
  <si>
    <t>Аж ахуйн нэгж,  байгууллагын нэр</t>
  </si>
  <si>
    <t>Бүүргэнт</t>
  </si>
  <si>
    <t>Дөрвөн тал</t>
  </si>
  <si>
    <t>Хүдэр-Эрдэнэ</t>
  </si>
  <si>
    <t>Үнэт металл</t>
  </si>
  <si>
    <t>Эрдэнэт үйлдвэр</t>
  </si>
  <si>
    <t>Гурван төхөм</t>
  </si>
  <si>
    <t>Гүн Билэг Трейд</t>
  </si>
  <si>
    <t>Дарханы Төмөрлөгийн үйлдвэр</t>
  </si>
  <si>
    <t>Алтайн хүдэр</t>
  </si>
  <si>
    <t>Аймаг, нийслэл</t>
  </si>
  <si>
    <t>Сум, дүүрэг</t>
  </si>
  <si>
    <t>Аж ахуйн нэгж, байгууллагын хариуцлагын хэлбэр</t>
  </si>
  <si>
    <t>1. Улсын төсөвт төвлөрүүлсэн албан татвар, төлбөр, хураамж, ногдол ашиг</t>
  </si>
  <si>
    <t>=+BK14+BK28+BK38+BK43+BK45+BK48=+BL14+BL28+BL38+BL43+BL45+BL48 =+BM14+BM28+BM38+BM43+BM45+BM48 =+BN14+BN28+BN38+BN43+BN45+BN48 =+BO14+BO28+BO38+BO43+BO45+BO48 =+BP14+BP28+BP38+BP43+BP45+BP48 =+BQ14+BQ28+BQ38+BQ43+BQ45+BQ48 =+BR14+BR28+BR38+BR43+BR45+BR48 =+BS14+BS28+BS38+BS43+BS45+BS48 =+BT14+BT28+BT38+BT43+BT45+BT48 =+BU14+BU28+BU38+BU43+BU45+BU48 =+BV14+BV28+BV38+BV43+BV45+BV48 =+BW14+BW28+BW38+BW43+BW45+BW48 =+BX14+BX28+BX38+BX43+BX45+BX48 =+BY14+BY28+BY38+BY43+BY45+BY48 =+BZ14+BZ28+BZ38+BZ43+BZ45+BZ48 =+CA14+CA28+CA38+CA43+CA45+CA48 =+CB14+CB28+CB38+CB43+CB45+CB48 =+CC14+CC28+CC38+CC43+CC45+CC48 =+CD14+CD28+CD38+CD43+CD45+CD48 =+CE14+CE28+CE38+CE43+CE45+CE48 =+CF14+CF28+CF38+CF43+CF45+CF48 =+CG14+CG28+CG38+CG43+CG45+CG48 =+CH14+CH28+CH38+CH43+CH45+CH48 =+CI14+CI28+CI38+CI43+CI45+CI48 =+CJ14+CJ28+CJ38+CJ43+CJ45+CJ48 =+CK14+CK28+CK38+CK43+CK45+CK48 =+CL14+CL28+CL38+CL43+CL45+CL48 =+CM14+CM28+CM38+CM43+CM45+CM48 =+CN14+CN28+CN38+CN43+CN45+CN48 =+CO14+CO28+CO38+CO43+CO45+CO48 =+CP14+CP28+CP38+CP43+CP45+CP48 =+CQ14+CQ28+CQ38+CQ43+CQ45+CQ48 =+CR14+CR28+CR38+CR43+CR45+CR48 =+CS14+CS28+CS38+CS43+CS45+CS48 =+CT14+CT28+CT38+CT43+CT45+CT48 =+CU14+CU28+CU38+CU43+CU45+CU48 =+CV14+CV28+CV38+CV43+CV45+CV48 =+CW14+CW28+CW38+CW43+CW45+CW48 =+CX14+CX28+CX38+CX43+CX45+CX48 =+CY14+CY28+CY38+CY43+CY45+CY48 =+CZ14+CZ28+CZ38+CZ43+CZ45+CZ48 =+DA14+DA28+DA38+DA43+DA45+DA48 =+DB14+DB28+DB38+DB43+DB45+DB48 =+DC14+DC28+DC38+DC43+DC45+DC48 =+DD14+DD28+DD38+DD43+DD45+DD48 =+DE14+DE28+DE38+DE43+DE45+DE48 =+DF14+DF28+DF38+DF43+DF45+DF48 =+DG14+DG28+DG38+DG43+DG45+DG48 =+DH14+DH28+DH38+DH43+DH45+DH48 =+DI14+DI28+DI38+DI43+DI45+DI48 =+DJ14+DJ28+DJ38+DJ43+DJ45+DJ48 =+DK14+DK28+DK38+DK43+DK45+DK48 =+DL14+DL28+DL38+DL43+DL45+DL48 =+DM14+DM28+DM38+DM43+DM45+DM48 =+DN14+DN28+DN38+DN43+DN45+DN48 =+DO14+DO28+DO38+DO43+DO45+DO48 =+DP14+DP28+DP38+DP43+DP45+DP48 =+DQ14+DQ28+DQ38+DQ43+DQ45+DQ48 =+DR14+DR28+DR38+DR43+DR45+DR48 =+DS14+DS28+DS38+DS43+DS45+DS48 =+DT14+DT28+DT38+DT43+DT45+DT48 =+DU14+DU28+DU38+DU43+DU45+DU48 =+DV14+DV28+DV38+DV43+DV45+DV48 =+DW14+DW28+DW38+DW43+DW45+DW48 =+DX14+DX28+DX38+DX43+DX45+DX48 =+DY14+DY28+DY38+DY43+DY45+DY48 =+DZ14+DZ28+DZ38+DZ43+DZ45+DZ48 =+EA14+EA28+EA38+EA43+EA45+EA48 =+EB14+EB28+EB38+EB43+EB45+EB48 =+EC14+EC28+EC38+EC43+EC45+EC48 =+ED14+ED28+ED38+ED43+ED45+ED48 =+EE14+EE28+EE38+EE43+EE45+EE48 =+EF14+EF28+EF38+EF43+EF45+EF48 =+EG14+EG28+EG38+EG43+EG45+EG48 =+EH14+EH28+EH38+EH43+EH45+EH48 =+EI14+EI28+EI38+EI43+EI45+EI48 =+EJ14+EJ28+EJ38+EJ43+EJ45+EJ48 =+EK14+EK28+EK38+EK43+EK45+EK48 =+EL14+EL28+EL38+EL43+EL45+EL48 =+EM14+EM28+EM38+EM43+EM45+EM48 =+EN14+EN28+EN38+EN43+EN45+EN48 =+EO14+EO28+EO38+EO43+EO45+EO48 =+EP14+EP28+EP38+EP43+EP45+EP48 =+EQ14+EQ28+EQ38+EQ43+EQ45+EQ48 =+ER14+ER28+ER38+ER43+ER45+ER48 =+ES14+ES28+ES38+ES43+ES45+ES48 =+ET14+ET28+ET38+ET43+ET45+ET48 =+EU14+EU28+EU38+EU43+EU45+EU48 =+EV14+EV28+EV38+EV43+EV45+EV48 =+EW14+EW28+EW38+EW43+EW45+EW48 =+EX14+EX28+EX38+EX43+EX45+EX48 =+EY14+EY28+EY38+EY43+EY45+EY48 =+EZ14+EZ28+EZ38+EZ43+EZ45+EZ48 =+FA14+FA28+FA38+FA43+FA45+FA48 =+FB14+FB28+FB38+FB43+FB45+FB48 =+FC14+FC28+FC38+FC43+FC45+FC48 =+FD14+FD28+FD38+FD43+FD45+FD48 =+FE14+FE28+FE38+FE43+FE45+FE48 =+FF14+FF28+FF38+FF43+FF45+FF48 =+FG14+FG28+FG38+FG43+FG45+FG48 =+FH14+FH28+FH38+FH43+FH45+FH48 =+FI14+FI28+FI38+FI43+FI45+FI48 =+FJ14+FJ28+FJ38+FJ43+FJ45+FJ48 =+FK14+FK28+FK38+FK43+FK45+FK48 =+FL14+FL28+FL38+FL43+FL45+FL48 =+FM14+FM28+FM38+FM43+FM45+FM48 =+FN14+FN28+FN38+FN43+FN45+FN48 =+FO14+FO28+FO38+FO43+FO45+FO48 =+FP14+FP28+FP38+FP43+FP45+FP48 =+FQ14+FQ28+FQ38+FQ43+FQ45+FQ48 =+FR14+FR28+FR38+FR43+FR45+FR48 =+FS14+FS28+FS38+FS43+FS45+FS48 =+FT14+FT28+FT38+FT43+FT45+FT48 =+FU14+FU28+FU38+FU43+FU45+FU48 =+FV14+FV28+FV38+FV43+FV45+FV48 =+FW14+FW28+FW38+FW43+FW45+FW48 =+FX14+FX28+FX38+FX43+FX45+FX48 =+FY14+FY28+FY38+FY43+FY45+FY48 =+FZ14+FZ28+FZ38+FZ43+FZ45+FZ48 =+GA14+GA28+GA38+GA43+GA45+GA48 =+GB14+GB28+GB38+GB43+GB45+GB48 =+GC14+GC28+GC38+GC43+GC45+GC48 =+GD14+GD28+GD38+GD43+GD45+GD48 =+GE14+GE28+GE38+GE43+GE45+GE48 =+GF14+GF28+GF38+GF43+GF45+GF48 =+GG14+GG28+GG38+GG43+GG45+GG48 =+GH14+GH28+GH38+GH43+GH45+GH48 =+GI14+GI28+GI38+GI43+GI45+GI48 =+GJ14+GJ28+GJ38+GJ43+GJ45+GJ48 =+GK14+GK28+GK38+GK43+GK45+GK48 =+GL14+GL28+GL38+GL43+GL45+GL48 =+GM14+GM28+GM38+GM43+GM45+GM48 =+GN14+GN28+GN38+GN43+GN45+GN48 =+GO14+GO28+GO38+GO43+GO45+GO48 =+GP14+GP28+GP38+GP43+GP45+GP48 =+GQ14+GQ28+GQ38+GQ43+GQ45+GQ48 =+GR14+GR28+GR38+GR43+GR45+GR48 =+GS14+GS28+GS38+GS43+GS45+GS48 =+GT14+GT28+GT38+GT43+GT45+GT48 =+GU14+GU28+GU38+GU43+GU45+GU48 =+GV14+GV28+GV38+GV43+GV45+GV48 =+GW14+GW28+GW38+GW43+GW45+GW48 =+GX14+GX28+GX38+GX43+GX45+GX48 =+GY14+GY28+GY38+GY43+GY45+GY48 =+GZ14+GZ28+GZ38+GZ43+GZ45+GZ48 =+HA14+HA28+HA38+HA43+HA45+HA48 =+HB14+HB28+HB38+HB43+HB45+HB48 =+HC14+HC28+HC38+HC43+HC45+HC48 =+HD14+HD28+HD38+HD43+HD45+HD48 =+HE14+HE28+HE38+HE43+HE45+HE48 =+HF14+HF28+HF38+HF43+HF45+HF48 =+HG14+HG28+HG38+HG43+HG45+HG48 =+HH14+HH28+HH38+HH43+HH45+HH48 =+HI14+HI28+HI38+HI43+HI45+HI48 =+HJ14+HJ28+HJ38+HJ43+HJ45+HJ48 =+HK14+HK28+HK38+HK43+HK45+HK48 =+HL14+HL28+HL38+HL43+HL45+HL48 =+HM14+HM28+HM38+HM43+HM45+HM48 =+HN14+HN28+HN38+HN43+HN45+HN48 =+HO14+HO28+HO38+HO43+HO45+HO48 =+HP14+HP28+HP38+HP43+HP45+HP48 =+HQ14+HQ28+HQ38+HQ43+HQ45+HQ48 =+HR14+HR28+HR38+HR43+HR45+HR48 =+HS14+HS28+HS38+HS43+HS45+HS48 =+HT14+HT28+HT38+HT43+HT45+HT48 =+HU14+HU28+HU38+HU43+HU45+HU48 =+HV14+HV28+HV38+HV43+HV45+HV48 =+HW14+HW28+HW38+HW43+HW45+HW48 =+HX14+HX28+HX38+HX43+HX45+HX48 =+HY14+HY28+HY38+HY43+HY45+HY48 =+HZ14+HZ28+HZ38+HZ43+HZ45+HZ48 =+IA14+IA28+IA38+IA43+IA45+IA48 =+IB14+IB28+IB38+IB43+IB45+IB48 =+IC14+IC28+IC38+IC43+IC45+IC48 =+ID14+ID28+ID38+ID43+ID45+ID48 =+IE14+IE28+IE38+IE43+IE45+IE48 =+IF14+IF28+IF38+IF43+IF45+IF48 =+IG14+IG28+IG38+IG43+IG45+IG48 =+IH14+IH28+IH38+IH43+IH45+IH48 =+II14+II28+II38+II43+II45+II48 =+IJ14+IJ28+IJ38+IJ43+IJ45+IJ48 =+IK14+IK28+IK38+IK43+IK45+IK48 =+IL14+IL28+IL38+IL43+IL45+IL48 =+IM14+IM28+IM38+IM43+IM45+IM48 =+IN14+IN28+IN38+IN43+IN45+IN48 =+IO14+IO28+IO38+IO43+IO45+IO48 =+IP14+IP28+IP38+IP43+IP45+IP48 =+IQ14+IQ28+IQ38+IQ43+IQ45+IQ48 =+IR14+IR28+IR38+IR43+IR45+IR48 =+IS14+IS28+IS38+IS43+IS45+IS48 =+IT14+IT28+IT38+IT43+IT45+IT48 =+IU14+IU28+IU38+IU43+IU45+IU48 =+IV14+IV28+IV38+IV43+IV45+IV48 =+IW14+IW28+IW38+IW43+IW45+IW48 =+IX14+IX28+IX38+IX43+IX45+IX48 =+IY14+IY28+IY38+IY43+IY45+IY48 =+IZ14+IZ28+IZ38+IZ43+IZ45+IZ48 =+JA14+JA28+JA38+JA43+JA45+JA48 =+JB14+JB28+JB38+JB43+JB45+JB48 =+JC14+JC28+JC38+JC43+JC45+JC48 =+JD14+JD28+JD38+JD43+JD45+JD48 =+JE14+JE28+JE38+JE43+JE45+JE48 =+JF14+JF28+JF38+JF43+JF45+JF48 =+JG14+JG28+JG38+JG43+JG45+JG48 =+JH14+JH28+JH38+JH43+JH45+JH48 =+JI14+JI28+JI38+JI43+JI45+JI48 =+JJ14+JJ28+JJ38+JJ43+JJ45+JJ48 =+JK14+JK28+JK38+JK43+JK45+JK48 =+JL14+JL28+JL38+JL43+JL45+JL48 =+JM14+JM28+JM38+JM43+JM45+JM48 =+JN14+JN28+JN38+JN43+JN45+JN48 =+JO14+JO28+JO38+JO43+JO45+JO48 =+JP14+JP28+JP38+JP43+JP45+JP48 =+JQ14+JQ28+JQ38+JQ43+JQ45+JQ48 =+JR14+JR28+JR38+JR43+JR45+JR48 =+JS14+JS28+JS38+JS43+JS45+JS48 =+JT14+JT28+JT38+JT43+JT45+JT48 =+JU14+JU28+JU38+JU43+JU45+JU48 =+JV14+JV28+JV38+JV43+JV45+JV48 =+JW14+JW28+JW38+JW43+JW45+JW48 =+JX14+JX28+JX38+JX43+JX45+JX48 =+JY14+JY28+JY38+JY43+JY45+JY48 =+JZ14+JZ28+JZ38+JZ43+JZ45+JZ48 =+KA14+KA28+KA38+KA43+KA45+KA48 =+KB14+KB28+KB38+KB43+KB45+KB48 =+KC14+KC28+KC38+KC43+KC45+KC48 =+KD14+KD28+KD38+KD43+KD45+KD48 =+KE14+KE28+KE38+KE43+KE45+KE48 =+KF14+KF28+KF38+KF43+KF45+KF48 =+KG14+KG28+KG38+KG43+KG45+KG48 =+KH14+KH28+KH38+KH43+KH45+KH48 =+KI14+KI28+KI38+KI43+KI45+KI48 =+KJ14+KJ28+KJ38+KJ43+KJ45+KJ48 =+KK14+KK28+KK38+KK43+KK45+KK48 =+KL14+KL28+KL38+KL43+KL45+KL48 =+KM14+KM28+KM38+KM43+KM45+KM48 =+KN14+KN28+KN38+KN43+KN45+KN48 =+KO14+KO28+KO38+KO43+KO45+KO48 =+KP14+KP28+KP38+KP43+KP45+KP48 =+KQ14+KQ28+KQ38+KQ43+KQ45+KQ48 =+KR14+KR28+KR38+KR43+KR45+KR48 =+KS14+KS28+KS38+KS43+KS45+KS48 =+KT14+KT28+KT38+KT43+KT45+KT48 =+KU14+KU28+KU38+KU43+KU45+KU48 =+KV14+KV28+KV38+KV43+KV45+KV48 =+KW14+KW28+KW38+KW43+KW45+KW48 =+KX14+KX28+KX38+KX43+KX45+KX48 =+KY14+KY28+KY38+KY43+KY45+KY48 =+KZ14+KZ28+KZ38+KZ43+KZ45+KZ48 =+LA14+LA28+LA38+LA43+LA45+LA48 =+LB14+LB28+LB38+LB43+LB45+LB48 =+LC14+LC28+LC38+LC43+LC45+LC48 =+LD14+LD28+LD38+LD43+LD45+LD48 =+LE14+LE28+LE38+LE43+LE45+LE48 =+LF14+LF28+LF38+LF43+LF45+LF48 =</t>
  </si>
  <si>
    <t>1.1 Татвар, хураамж</t>
  </si>
  <si>
    <t xml:space="preserve">Аж ахуйн нэгжийн орлогын албан татвар </t>
  </si>
  <si>
    <t>Автобензин, дизелийн түлшний онцгой албан татвар</t>
  </si>
  <si>
    <t xml:space="preserve">Автобензин, дизелийн түлшний албан татвар </t>
  </si>
  <si>
    <t>Ашигт малтмалын нөөц ашигласны төлбөр болон нэмэлт төлбөр</t>
  </si>
  <si>
    <t xml:space="preserve">Ашигт малтмалын ашиглалтын болон хайгуулын тусгай зөвшөөрлийн төлбөр             </t>
  </si>
  <si>
    <t>Зарим бүтээгдэхүүний үнийн өсөлтийн албан татвар</t>
  </si>
  <si>
    <t>1.2 Төлбөр</t>
  </si>
  <si>
    <t>Улсын төсвийн хөрөнгөөр хайгуул хийсэн ордын нөхөн төлбөр</t>
  </si>
  <si>
    <t>Гадаадын мэргэжилтэн, ажилчны ажлын байрны төлбөр</t>
  </si>
  <si>
    <t>1.3 Яам, төрийн захиргааны байгууллагад төлсөн хураамж, үйлчилгээний хөлс</t>
  </si>
  <si>
    <t>1.4 Төрийн өмчийн ногдол ашиг</t>
  </si>
  <si>
    <t>Төрийн өмчийн ногдол ашиг</t>
  </si>
  <si>
    <t>1.5 Засгийн газрын орлого ба бусад орлого</t>
  </si>
  <si>
    <t>Бүтээгдэхүүн хуваах гэрээний дагуу Засгийн газарт ногдох газрын тосны орлого</t>
  </si>
  <si>
    <t>1.6 Бусад</t>
  </si>
  <si>
    <t>2. Орон нутгийн төсөвт төлсөн татвар, төлбөр, хураамж, ногдол ашиг</t>
  </si>
  <si>
    <t>=BK51+BK55+BK63+BK66+BK68=BL51+BL55+BL63+BL66+BL68 =BM51+BM55+BM63+BM66+BM68 =BN51+BN55+BN63+BN66+BN68 =BO51+BO55+BO63+BO66+BO68 =BP51+BP55+BP63+BP66+BP68 =BQ51+BQ55+BQ63+BQ66+BQ68 =BR51+BR55+BR63+BR66+BR68 =BS51+BS55+BS63+BS66+BS68 =BT51+BT55+BT63+BT66+BT68 =BU51+BU55+BU63+BU66+BU68 =BV51+BV55+BV63+BV66+BV68 =BW51+BW55+BW63+BW66+BW68 =BX51+BX55+BX63+BX66+BX68 =BY51+BY55+BY63+BY66+BY68 =BZ51+BZ55+BZ63+BZ66+BZ68 =CA51+CA55+CA63+CA66+CA68 =CB51+CB55+CB63+CB66+CB68 =CC51+CC55+CC63+CC66+CC68 =CD51+CD55+CD63+CD66+CD68 =CE51+CE55+CE63+CE66+CE68 =CF51+CF55+CF63+CF66+CF68 =CG51+CG55+CG63+CG66+CG68 =CH51+CH55+CH63+CH66+CH68 =CI51+CI55+CI63+CI66+CI68 =CJ51+CJ55+CJ63+CJ66+CJ68 =CK51+CK55+CK63+CK66+CK68 =CL51+CL55+CL63+CL66+CL68 =CM51+CM55+CM63+CM66+CM68 =CN51+CN55+CN63+CN66+CN68 =CO51+CO55+CO63+CO66+CO68 =CP51+CP55+CP63+CP66+CP68 =CQ51+CQ55+CQ63+CQ66+CQ68 =CR51+CR55+CR63+CR66+CR68 =CS51+CS55+CS63+CS66+CS68 =CT51+CT55+CT63+CT66+CT68 =CU51+CU55+CU63+CU66+CU68 =CV51+CV55+CV63+CV66+CV68 =CW51+CW55+CW63+CW66+CW68 =CX51+CX55+CX63+CX66+CX68 =CY51+CY55+CY63+CY66+CY68 =CZ51+CZ55+CZ63+CZ66+CZ68 =DA51+DA55+DA63+DA66+DA68 =DB51+DB55+DB63+DB66+DB68 =DC51+DC55+DC63+DC66+DC68 =DD51+DD55+DD63+DD66+DD68 =DE51+DE55+DE63+DE66+DE68 =DF51+DF55+DF63+DF66+DF68 =DG51+DG55+DG63+DG66+DG68 =DH51+DH55+DH63+DH66+DH68 =DI51+DI55+DI63+DI66+DI68 =DJ51+DJ55+DJ63+DJ66+DJ68 =DK51+DK55+DK63+DK66+DK68 =DL51+DL55+DL63+DL66+DL68 =DM51+DM55+DM63+DM66+DM68 =DN51+DN55+DN63+DN66+DN68 =DO51+DO55+DO63+DO66+DO68 =DP51+DP55+DP63+DP66+DP68 =DQ51+DQ55+DQ63+DQ66+DQ68 =DR51+DR55+DR63+DR66+DR68 =DS51+DS55+DS63+DS66+DS68 =DT51+DT55+DT63+DT66+DT68 =DU51+DU55+DU63+DU66+DU68 =DV51+DV55+DV63+DV66+DV68 =DW51+DW55+DW63+DW66+DW68 =DX51+DX55+DX63+DX66+DX68 =DY51+DY55+DY63+DY66+DY68 =DZ51+DZ55+DZ63+DZ66+DZ68 =EA51+EA55+EA63+EA66+EA68 =EB51+EB55+EB63+EB66+EB68 =EC51+EC55+EC63+EC66+EC68 =ED51+ED55+ED63+ED66+ED68 =EE51+EE55+EE63+EE66+EE68 =EF51+EF55+EF63+EF66+EF68 =EG51+EG55+EG63+EG66+EG68 =EH51+EH55+EH63+EH66+EH68 =EI51+EI55+EI63+EI66+EI68 =EJ51+EJ55+EJ63+EJ66+EJ68 =EK51+EK55+EK63+EK66+EK68 =EL51+EL55+EL63+EL66+EL68 =EM51+EM55+EM63+EM66+EM68 =EN51+EN55+EN63+EN66+EN68 =EO51+EO55+EO63+EO66+EO68 =EP51+EP55+EP63+EP66+EP68 =EQ51+EQ55+EQ63+EQ66+EQ68 =ER51+ER55+ER63+ER66+ER68 =ES51+ES55+ES63+ES66+ES68 =ET51+ET55+ET63+ET66+ET68 =EU51+EU55+EU63+EU66+EU68 =EV51+EV55+EV63+EV66+EV68 =EW51+EW55+EW63+EW66+EW68 =EX51+EX55+EX63+EX66+EX68 =EY51+EY55+EY63+EY66+EY68 =EZ51+EZ55+EZ63+EZ66+EZ68 =FA51+FA55+FA63+FA66+FA68 =FB51+FB55+FB63+FB66+FB68 =FC51+FC55+FC63+FC66+FC68 =FD51+FD55+FD63+FD66+FD68 =FE51+FE55+FE63+FE66+FE68 =FF51+FF55+FF63+FF66+FF68 =FG51+FG55+FG63+FG66+FG68 =FH51+FH55+FH63+FH66+FH68 =FI51+FI55+FI63+FI66+FI68 =FJ51+FJ55+FJ63+FJ66+FJ68 =FK51+FK55+FK63+FK66+FK68 =FL51+FL55+FL63+FL66+FL68 =FM51+FM55+FM63+FM66+FM68 =FN51+FN55+FN63+FN66+FN68 =FO51+FO55+FO63+FO66+FO68 =FP51+FP55+FP63+FP66+FP68 =FQ51+FQ55+FQ63+FQ66+FQ68 =FR51+FR55+FR63+FR66+FR68 =FS51+FS55+FS63+FS66+FS68 =FT51+FT55+FT63+FT66+FT68 =FU51+FU55+FU63+FU66+FU68 =FV51+FV55+FV63+FV66+FV68 =FW51+FW55+FW63+FW66+FW68 =FX51+FX55+FX63+FX66+FX68 =FY51+FY55+FY63+FY66+FY68 =FZ51+FZ55+FZ63+FZ66+FZ68 =GA51+GA55+GA63+GA66+GA68 =GB51+GB55+GB63+GB66+GB68 =GC51+GC55+GC63+GC66+GC68 =GD51+GD55+GD63+GD66+GD68 =GE51+GE55+GE63+GE66+GE68 =GF51+GF55+GF63+GF66+GF68 =GG51+GG55+GG63+GG66+GG68 =GH51+GH55+GH63+GH66+GH68 =GI51+GI55+GI63+GI66+GI68 =GJ51+GJ55+GJ63+GJ66+GJ68 =GK51+GK55+GK63+GK66+GK68 =GL51+GL55+GL63+GL66+GL68 =GM51+GM55+GM63+GM66+GM68 =GN51+GN55+GN63+GN66+GN68 =GO51+GO55+GO63+GO66+GO68 =GP51+GP55+GP63+GP66+GP68 =GQ51+GQ55+GQ63+GQ66+GQ68 =GR51+GR55+GR63+GR66+GR68 =GS51+GS55+GS63+GS66+GS68 =GT51+GT55+GT63+GT66+GT68 =GU51+GU55+GU63+GU66+GU68 =GV51+GV55+GV63+GV66+GV68 =GW51+GW55+GW63+GW66+GW68 =GX51+GX55+GX63+GX66+GX68 =GY51+GY55+GY63+GY66+GY68 =GZ51+GZ55+GZ63+GZ66+GZ68 =HA51+HA55+HA63+HA66+HA68 =HB51+HB55+HB63+HB66+HB68 =HC51+HC55+HC63+HC66+HC68 =HD51+HD55+HD63+HD66+HD68 =HE51+HE55+HE63+HE66+HE68 =HF51+HF55+HF63+HF66+HF68 =HG51+HG55+HG63+HG66+HG68 =HH51+HH55+HH63+HH66+HH68 =HI51+HI55+HI63+HI66+HI68 =HJ51+HJ55+HJ63+HJ66+HJ68 =HK51+HK55+HK63+HK66+HK68 =HL51+HL55+HL63+HL66+HL68 =HM51+HM55+HM63+HM66+HM68 =HN51+HN55+HN63+HN66+HN68 =HO51+HO55+HO63+HO66+HO68 =HP51+HP55+HP63+HP66+HP68 =HQ51+HQ55+HQ63+HQ66+HQ68 =HR51+HR55+HR63+HR66+HR68 =HS51+HS55+HS63+HS66+HS68 =HT51+HT55+HT63+HT66+HT68 =HU51+HU55+HU63+HU66+HU68 =HV51+HV55+HV63+HV66+HV68 =HW51+HW55+HW63+HW66+HW68 =HX51+HX55+HX63+HX66+HX68 =HY51+HY55+HY63+HY66+HY68 =HZ51+HZ55+HZ63+HZ66+HZ68 =IA51+IA55+IA63+IA66+IA68 =IB51+IB55+IB63+IB66+IB68 =IC51+IC55+IC63+IC66+IC68 =ID51+ID55+ID63+ID66+ID68 =IE51+IE55+IE63+IE66+IE68 =IF51+IF55+IF63+IF66+IF68 =IG51+IG55+IG63+IG66+IG68 =IH51+IH55+IH63+IH66+IH68 =II51+II55+II63+II66+II68 =IJ51+IJ55+IJ63+IJ66+IJ68 =IK51+IK55+IK63+IK66+IK68 =IL51+IL55+IL63+IL66+IL68 =IM51+IM55+IM63+IM66+IM68 =IN51+IN55+IN63+IN66+IN68 =IO51+IO55+IO63+IO66+IO68 =IP51+IP55+IP63+IP66+IP68 =IQ51+IQ55+IQ63+IQ66+IQ68 =IR51+IR55+IR63+IR66+IR68 =IS51+IS55+IS63+IS66+IS68 =IT51+IT55+IT63+IT66+IT68 =IU51+IU55+IU63+IU66+IU68 =IV51+IV55+IV63+IV66+IV68 =IW51+IW55+IW63+IW66+IW68 =IX51+IX55+IX63+IX66+IX68 =IY51+IY55+IY63+IY66+IY68 =IZ51+IZ55+IZ63+IZ66+IZ68 =JA51+JA55+JA63+JA66+JA68 =JB51+JB55+JB63+JB66+JB68 =JC51+JC55+JC63+JC66+JC68 =JD51+JD55+JD63+JD66+JD68 =JE51+JE55+JE63+JE66+JE68 =JF51+JF55+JF63+JF66+JF68 =JG51+JG55+JG63+JG66+JG68 =JH51+JH55+JH63+JH66+JH68 =JI51+JI55+JI63+JI66+JI68 =JJ51+JJ55+JJ63+JJ66+JJ68 =JK51+JK55+JK63+JK66+JK68 =JL51+JL55+JL63+JL66+JL68 =JM51+JM55+JM63+JM66+JM68 =JN51+JN55+JN63+JN66+JN68 =JO51+JO55+JO63+JO66+JO68 =JP51+JP55+JP63+JP66+JP68 =JQ51+JQ55+JQ63+JQ66+JQ68 =JR51+JR55+JR63+JR66+JR68 =JS51+JS55+JS63+JS66+JS68 =JT51+JT55+JT63+JT66+JT68 =JU51+JU55+JU63+JU66+JU68 =JV51+JV55+JV63+JV66+JV68 =JW51+JW55+JW63+JW66+JW68 =JX51+JX55+JX63+JX66+JX68 =JY51+JY55+JY63+JY66+JY68 =JZ51+JZ55+JZ63+JZ66+JZ68 =KA51+KA55+KA63+KA66+KA68 =KB51+KB55+KB63+KB66+KB68 =KC51+KC55+KC63+KC66+KC68 =KD51+KD55+KD63+KD66+KD68 =KE51+KE55+KE63+KE66+KE68 =KF51+KF55+KF63+KF66+KF68 =KG51+KG55+KG63+KG66+KG68 =KH51+KH55+KH63+KH66+KH68 =KI51+KI55+KI63+KI66+KI68 =KJ51+KJ55+KJ63+KJ66+KJ68 =KK51+KK55+KK63+KK66+KK68 =KL51+KL55+KL63+KL66+KL68 =KM51+KM55+KM63+KM66+KM68 =KN51+KN55+KN63+KN66+KN68 =KO51+KO55+KO63+KO66+KO68 =KP51+KP55+KP63+KP66+KP68 =KQ51+KQ55+KQ63+KQ66+KQ68 =KR51+KR55+KR63+KR66+KR68 =KS51+KS55+KS63+KS66+KS68 =KT51+KT55+KT63+KT66+KT68 =KU51+KU55+KU63+KU66+KU68 =KV51+KV55+KV63+KV66+KV68 =KW51+KW55+KW63+KW66+KW68 =KX51+KX55+KX63+KX66+KX68 =KY51+KY55+KY63+KY66+KY68 =KZ51+KZ55+KZ63+KZ66+KZ68 =LA51+LA55+LA63+LA66+LA68 =LB51+LB55+LB63+LB66+LB68 =LC51+LC55+LC63+LC66+LC68 =LD51+LD55+LD63+LD66+LD68 =LE51+LE55+LE63+LE66+LE68 =LF51+LF55+LF63+LF66+LF68 =LG51+LG55+LG63+LG66+LG68 =LH51+LH55+LH63+LH66+LH68 =LI51+LI55+LI63+LI66+LI68 =LJ51+LJ55+LJ63+LJ66+LJ68 =LK51+LK55+LK63+LK66+LK68 =LL51+LL55+LL63+LL66+LL68 =LM51+LM55+LM63+LM66+LM68 =LN51+LN55+LN63+LN66+LN68 =LO51+LO55+LO63+LO66+LO68 =LP51+LP55+LP63+LP66+LP68 =LQ51+LQ55+LQ63+LQ66+LQ68 =LR51+LR55+LR63+LR66+LR68 =LS51+LS55+LS63+LS66+LS68 =LT51+LT55+LT63+LT66+LT68 =LU51+LU55+LU63+LU66+LU68 =LV51+LV55+LV63+LV66+LV68 =LW51+LW55+LW63+LW66+LW68 =LX51+LX55+LX63+LX66+LX68 =LY51+LY55+LY63+LY66+LY68 =LZ51+LZ55+LZ63+LZ66+LZ68 =MA51+MA55+MA63+MA66+MA68 =MB51+MB55+MB63+MB66+MB68 =MC51+MC55+MC63+MC66+MC68 =MD51+MD55+MD63+MD66+MD68 =ME51+ME55+ME63+ME66+ME68 =MF51+MF55+MF63+MF66+MF68 =MG51+MG55+MG63+MG66+MG68 =MH51+MH55+MH63+MH66+MH68 =MI51+MI55+MI63+MI66+MI68 =MJ51+MJ55+MJ63+MJ66+MJ68 =MK51+MK55+MK63+MK66+MK68 =ML51+ML55+ML63+ML66+ML68 =MM51+MM55+MM63+MM66+MM68 =MN51+MN55+MN63+MN66+MN68 =MO51+MO55+MO63+MO66+MO68 =MP51+MP55+MP63+MP66+MP68 =MQ51+MQ55+MQ63+MQ66+MQ68 =MR51+MR55+MR63+MR66+MR68 =MS51+MS55+MS63+MS66+MS68 =MT51+MT55+MT63+MT66+MT68 =MU51+MU55+MU63+MU66+MU68 =MV51+MV55+MV63+MV66+MV68 =MW51+MW55+MW63+MW66+MW68 =MX51+MX55+MX63+MX66+MX68 =MY51+MY55+MY63+MY66+MY68 =MZ51+MZ55+MZ63+MZ66+MZ68 =NA51+NA55+NA63+NA66+NA68 =NB51+NB55+NB63+NB66+NB68 =NC51+NC55+NC63+NC66+NC68 =ND51+ND55+ND63+ND66+ND68 =NE51+NE55+NE63+NE66+NE68 =NF51+NF55+NF63+NF66+NF68 =NG51+NG55+NG63+NG66+NG68 =NH51+NH55+NH63+NH66+NH68 =NI51+NI55+NI63+NI66+NI68 =NJ51+NJ55+NJ63+NJ66+NJ68 =NK51+NK55+NK63+NK66+NK68 =NL51+NL55+NL63+NL66+NL68 =NM51+NM55+NM63+NM66+NM68 =NN</t>
  </si>
  <si>
    <t>2.1 Төлсөн татвар</t>
  </si>
  <si>
    <t>Бусад</t>
  </si>
  <si>
    <t>2.2  Төлбөр</t>
  </si>
  <si>
    <t>Газрын төлбөр</t>
  </si>
  <si>
    <t>Ус ашигласны төлбөр</t>
  </si>
  <si>
    <t>Ойгоос мод, түлээ бэлтгэсний төлбөр</t>
  </si>
  <si>
    <t>Түгээмэл тархацтай ашигт малтмалын нөөц ашигласны төлбөр</t>
  </si>
  <si>
    <t>2.3 Нутгийн захиргааны байгууллагад төлсөн хураамж, үйлчилгээний хөлс</t>
  </si>
  <si>
    <t>3.1 Байгаль хамгаалах зардлын урьдчилгаа</t>
  </si>
  <si>
    <t>Байгаль хамгаалах зардлын 50 хувийг тусгай дансанд төвлөрүүлсэн дүн</t>
  </si>
  <si>
    <t>3.2 Төрийн  байгууллагад төвлөрүүлсэн хандив, дэмжлэг</t>
  </si>
  <si>
    <t>Яам, агентлагийн авсан</t>
  </si>
  <si>
    <t>мөнгөн хандив, дэмжлэг</t>
  </si>
  <si>
    <t>мөнгөн бус хандив, дэмжлэг</t>
  </si>
  <si>
    <t>Аймаг, нийслэлийн авсан</t>
  </si>
  <si>
    <t>Сум, дүүргийн авсан</t>
  </si>
  <si>
    <t>Бусад байгууллагын авсан</t>
  </si>
  <si>
    <t>Гэрээ, тодорхой нөхцлөөр хөнгөлсөн, чөлөөлсөн татвар</t>
  </si>
  <si>
    <t>Хөрөнгө оруулалтын зардал</t>
  </si>
  <si>
    <t>Ажиллагчдын сургалт, чадавх бэхжүүлэхэд зориулсан зардал</t>
  </si>
  <si>
    <t>Геологи, хайгуулын зардал</t>
  </si>
  <si>
    <t>Байгаль хамгаалах арга хэмжээнд зарцуулсан зардал</t>
  </si>
  <si>
    <t xml:space="preserve">Гамшгаас хамгаалахад зориулсан зардал </t>
  </si>
  <si>
    <r>
      <t> </t>
    </r>
    <r>
      <rPr>
        <sz val="11"/>
        <color theme="1"/>
        <rFont val="Calibri"/>
        <family val="2"/>
      </rPr>
      <t>                                                                                                                                                                                                                                                                                                                                                                                                                                                                                                                                                                                                                                                                                                                                                                                                                                                      Монгол Улсын Сангийн яамны т</t>
    </r>
    <r>
      <rPr>
        <sz val="11"/>
        <color theme="1"/>
        <rFont val="Arial"/>
        <family val="2"/>
      </rPr>
      <t>ө</t>
    </r>
    <r>
      <rPr>
        <sz val="11"/>
        <color theme="1"/>
        <rFont val="Calibri"/>
        <family val="2"/>
      </rPr>
      <t xml:space="preserve">рийн нарийн                    </t>
    </r>
  </si>
  <si>
    <r>
      <t> </t>
    </r>
    <r>
      <rPr>
        <sz val="11"/>
        <color theme="1"/>
        <rFont val="Calibri"/>
        <family val="2"/>
      </rPr>
      <t>                                                                                                                                                                                                                                                                                                                                                                                                                                                                                                                                                                                                                                                                                                                                                                                                                                                      бичгийн дарга                           /...................................................../     Д.Батт</t>
    </r>
    <r>
      <rPr>
        <sz val="11"/>
        <color theme="1"/>
        <rFont val="Arial"/>
        <family val="2"/>
      </rPr>
      <t>ө</t>
    </r>
    <r>
      <rPr>
        <sz val="11"/>
        <color theme="1"/>
        <rFont val="Calibri"/>
        <family val="2"/>
      </rPr>
      <t xml:space="preserve">р           </t>
    </r>
  </si>
  <si>
    <r>
      <t> </t>
    </r>
    <r>
      <rPr>
        <sz val="11"/>
        <color theme="1"/>
        <rFont val="Calibri"/>
        <family val="2"/>
      </rPr>
      <t>                                                                                                                                                                                                                                                                                                                                                                                                                                                                                                                                                                                                                                                                                                                                                                                                                                                      Нягтлан бодох б</t>
    </r>
    <r>
      <rPr>
        <sz val="11"/>
        <color theme="1"/>
        <rFont val="Arial"/>
        <family val="2"/>
      </rPr>
      <t>ү</t>
    </r>
    <r>
      <rPr>
        <sz val="11"/>
        <color theme="1"/>
        <rFont val="Calibri"/>
        <family val="2"/>
      </rPr>
      <t xml:space="preserve">ртгэлийн бодлогын                    </t>
    </r>
  </si>
  <si>
    <r>
      <t> </t>
    </r>
    <r>
      <rPr>
        <sz val="11"/>
        <color theme="1"/>
        <rFont val="Calibri"/>
        <family val="2"/>
      </rPr>
      <t xml:space="preserve">                                                                                                                                                                                                                                                                                                                                                                                                                                                                                                                                                                                                                                                                                                                                                                                                                                                      газрын дарга                            /....................................................../     С.Мягмардаш           </t>
    </r>
  </si>
  <si>
    <r>
      <t> </t>
    </r>
    <r>
      <rPr>
        <sz val="11"/>
        <color theme="1"/>
        <rFont val="Calibri"/>
        <family val="2"/>
      </rPr>
      <t xml:space="preserve">                                                                                                                                                                                                                                                                                                                                                                                                                                                                                                                                                                                                                                                                                                                                                                                                                                                      газрын мэргэжилтэн               /…………………………………….../     Ж.Ивээлэн           </t>
    </r>
  </si>
  <si>
    <r>
      <t> </t>
    </r>
    <r>
      <rPr>
        <sz val="11"/>
        <color theme="1"/>
        <rFont val="Calibri"/>
        <family val="2"/>
      </rPr>
      <t xml:space="preserve">                                                                                                                                                                                                                                                                                                                                                                                                                                                                                                                                                                                                                                                                                                                                                                                                                                                        2011 оны 8 дугаар сарын 3                   </t>
    </r>
  </si>
  <si>
    <r>
      <t> </t>
    </r>
    <r>
      <rPr>
        <sz val="11"/>
        <color theme="1"/>
        <rFont val="Calibri"/>
        <family val="2"/>
      </rPr>
      <t xml:space="preserve">                                                                                                                                                                                                                                                                                                                                                                                                                                                                                                                                                                                                                                                                                                                                                                                                                                                                              </t>
    </r>
  </si>
  <si>
    <t xml:space="preserve">Монгол Улсын Сангийн яамны төрийн нарийн </t>
  </si>
  <si>
    <t>бичгийн дарга                          /.............................................../</t>
  </si>
  <si>
    <t>Д.Баттөр</t>
  </si>
  <si>
    <t xml:space="preserve">Нягтлан бодох бүртгэлийн бодлогын </t>
  </si>
  <si>
    <t>газрын дарга                      /.................................................../</t>
  </si>
  <si>
    <t>С.Мягмардаш</t>
  </si>
  <si>
    <t>газрын мэргэжилтэн         /…………………………………./</t>
  </si>
  <si>
    <t>Ж.Ивээлэн</t>
  </si>
  <si>
    <t>2011 оны 8 дугаар сарын 3</t>
  </si>
  <si>
    <r>
      <t> </t>
    </r>
    <r>
      <rPr>
        <sz val="8"/>
        <color theme="1"/>
        <rFont val="Arial"/>
        <family val="2"/>
      </rPr>
      <t xml:space="preserve">                                                                                                                                                                                                                                                                                                                                                                                                                                                                                                                                                                                                                                                                                                                                                                                                                                                                            </t>
    </r>
  </si>
  <si>
    <r>
      <t>59</t>
    </r>
    <r>
      <rPr>
        <sz val="8"/>
        <color theme="1"/>
        <rFont val="Arial"/>
        <family val="2"/>
      </rPr>
      <t xml:space="preserve">60 61 62 63 64 65 66 67 68 69 70 71 72 73 74 75 76 77 78 79 80 81 82 83 84 85 86 87 88 89 90 91 92 93 94 95 96 97 98 99 100 101 102 103 104 105 106 107 108 109 110 111 112 113 114 115 116 117 118 119 120 121 122 123 124 125 126 127 128 129 130 131 132 133 134 135 136 137 138 139 140 141 142 143 144 145 146 147 148 149 150 151 152 153 154 155 156 157 158 159 160 161 162 163 164 165 166 167 168 169 170 171 172 173 174 175 176 177 178 179 180 181 182 183 184 185 186 187 188 189 190 191 192 193 194 195 196 197 198 199 200 201 202 203 204 205 206 207 208 209 210 211 212 213 214 215 216 217 218 219 220 221 222 223 224 225 226 227 228 229 230 231 232 233 234 235 236 237 238 239 240 241 242 243 244 245 246 247 248 249 250 251 252 253 254 255 256 257 258 259 260 261 262 263 264 265 266 267 268 269 270 271 272 273 274 275 276 277 278 279 280 281 282 283 284 285 286 287 288 289 290 291 292 293 294 295 296 297 298 299 300 301 302 303 304 305 306 307 308 309 310 311 312 313 314 315 316 317 318 319 320 321 322 323 324 325 326 327 328 329 330 331 332 333 334 335 336 337 338 339 340 341 342 343 344 345 346 347 348 349 350 351 352 353 354 355 356 357 358 359 360 361 362 363 364 365 366 367 368 369 370 371 372 373 374 375 376 377 378 379 380 381 382 383 384 385 386 387 388 389 390 391 392 393 394 395 396 397 398 399 400 401 402 403 404 405 406 407 408 409 410 411 412 413 414 415 416 417 418 419 420 421 422 423 424 425 426 427 428 429 430 431 432 433 434 435 436 437 438 439 440 441 442 443 444 445 446 447 448 449 450 451 452 453 454 455 456 457 458 459 460 461 462 463 464 465 466 467 468 469 470 471 472 473 474 475 476 477 478       </t>
    </r>
  </si>
  <si>
    <r>
      <t>2549204 Total</t>
    </r>
    <r>
      <rPr>
        <sz val="8"/>
        <color theme="1"/>
        <rFont val="Arial"/>
        <family val="2"/>
      </rPr>
      <t xml:space="preserve">2550075 Total 2573245 Total 2573253 Total 2577453 Total 2590565 Total 2597977 Total 2655772 Total 2787318 Total 2663341 Total 2668548 Total 2718243 Total 2718375 Total 2779633 Total 2784262 Total 2839717 Total 2847558 Total 2856743 Total 2862468 Total 2867095 Total 2873575 Total 2878216 Total 2881217 Total 5003539 Total 5007127 Total 5018056 Total 5018536 Total 5022398 Total 5056721 Total 5058295 Total 5068827 Total 5069068 Total 5082986 Total 5074495 Total 5084555 Total 5159342 5085152 5198445 5227127 5210453 5038111 5019834 5014131 2715619 5309174 5133351 5108446 5218101 5333814 5075351 2730588 2823616 5350557 2628236 5098297 5077982 5155436 5031869 5194016 2678179 5041589 5051118 2023202 2887134 5167663 5194423 5153077 5095719 5095719 2705133 2878992 5249333 2618621 5210402 5106508 2844915 5141583 Total 5144663 Total 5295858 Total 5122392 Total 5127998 Total 5149703 Total 5153379 Total 5157153 Total 5157846 Total 5170672 Total 5179335 Total 5184851 Total 5158915 5206197 2025736 Total 2025752 Total 2026236 Total 2604469 Total 4489802 Total 2605031 Total 2152924 Total 2067544 Total 2068478 Total 2120879 Total 2091283 Total 2555468 Total 2595818 Total 2640287 Total 2640635 Total 2700115 Total 2707969 Total 2739739 Total 2766272 Total 2766868 Total 2816555 Total 2816687 Total 2786184 Total 2834421 Total 2850664 Total 2881934 Total 2885425 Total 5097711 Total 5098181 Total 5149843 Total 5156246 Total 5232538 2848376 5231337 Total 5070805 2875926 4247949 2045931 2612046 5028787 2861429 2696304 2777223 5133726 5106559 5103169 5026474 2022796 2070731 Total 2555409 Total 2570769 Total 2571498 Total 2544938 Total 2574233 Total 2578778 Total 2587637 Total 2587645 Total 2587815 Total 2657449 2848317 5015243 2626454 Total 2044838 Total 2074478 Total 5170966 Total 5174562 Total 5201705 Total 5203333 Total 2706865 2070251 5078253 5312213 5108659 5091098 2838508 5075602 5344743 2061899 2819031 5108403 2069792 2870312 Total 5029953 Total 5048486 Total 5084512 Total 5091462 Total 5098009 Total 5131618 Total 2874229 Total 2874482 Total 2877694 Total 2675471 Total 2708701 Total 2732726 Total 2763788 Total 2763834 Total 2782944 Total 2840391 Total 2851326 Total 2855119 Total 2695421 Total 2685841 Total 2617749 Total 2078449 2640872 Total 2656523 Total 2659603 Total 2629224 Total 2582457 Total 2587025 Total 2609436 Total 5320798 5319331 5093902 5113075 2585669 5051304 5138175 5332893 2718391 5111625 2793512 2823993 2003732 5032938 5308534 5132576 2875578 5324998 2650444 2850354 5208998 5214971 2867699 Total 5229049 Total 5189128 5089263 5237696 2546434 5256267 5239303 Total 2880822 Total 2884259 Total 2887746 Total 5017386 Total 5076021 Total 5090822 Total 5135958 Total 5148278 Total 2099551 Total 2100231 Total 2554518 Total 2579634 Total 2628058 Total 2770601 Total 2784041 Total 2063352 Total 2830213 Total 2834812 Total 2837196 Total 2787989 Total 5061989 Total 5104211 5113717 5152542 5073111 5189594 5193443 5266084 5301475 5146852 5035503 2734052 5272335 5260213 5179173 5200881 5111676 2670232 5301467 5076307 5180252 5168635 2550873 2761114 Total 2558661 Total 2086344 Total 2572036 Total 2596873 Total 2800497 Total 2808226 Total 2811138 Total 2813041 Total 2825627 Total 2829541 Total 2843129 Total 2872722 Total 2854384 Total 2872943 Total 5002486 Total 5025982 Total 5029066 Total 5073642 Total 5088755 Total 5089417 Total 5108357 Total 5116635 Total 5148014 Total 5155827 Total 5166284 Total 5213789 Total 5194482 Total 5233232 Total 5060338 5353246 2808226 5099854 5048362 2768607 Total 2774534 Total 2774666 Total 2649047 Total 2654806 Total 2672146 Total 2670801 Total 2608758 Total 2698161 Total 2708574 Total 2597535 5012287 5152054 5199107 5104459 2107961 Total 2556154 Total 2649098 Total 2711834 Total 2762706 Total 2716682 Total 5200334 5176727 5229634 Total 5021065 Total 5239168 Total 2614065 Total 2030624 Total 2031698 Total 2788691 Total 2819996 Total 2034859 Total 2050374 Total 2169967 Total 2051273 Total 2053152 Total 2009765 Total 2010895 Total 2011239 Total 2014491 Total 2076748 Total 2086999 Total 2121085 Total 2121174 Total 2534169 Total 2548747 Total 2551764 Total 2643928 Total 2607115 Total 2602504 Total 2617455 Total 2631717 Total 2641984 Total 2644495 Total 2639815 Total 2661128 Total 2661861 Total 2682702 Total 2683083 Total 4246195 Total 2852861 Total 2868679 Total 2868687 Total 2050463 2024306 2683385 Total 2736381 Total 2688638 Total 2784904 Total 2841002 Total 2852772 Total 2786893 Total 2807459 Total 2736624 Total 2743744 Total 2776804 Total 2842815 Total 2844001 Total 3122212 Total 3550125 Total 5023998 Total 5073189 Total 5118832 Total 5215757 Total 5352959 5095638 5143926 5151651 2004976 2044161 5218896 4184165 4257669 4257421 4257782 4257642 3491544 2317265 2812886 2611961 2774771 2841916 2532913 2619474 5106583 2663937 2112183 2608073 2800128 2830701 2012251 3428052       </t>
    </r>
  </si>
  <si>
    <r>
      <t>Хунан</t>
    </r>
    <r>
      <rPr>
        <sz val="8"/>
        <color theme="1"/>
        <rFont val="Arial"/>
        <family val="2"/>
      </rPr>
      <t xml:space="preserve">Би Би энд Эс Хүрзэт Тунамалшижир Хонгорын орд Сонор трейд Агит хангай Эрдэс холдинг Хан Хас Трейд Их хөвчийн жонон Гоулд-лэнд Эрдэнэ монгол Хуалян Хан ресорсез Их тохойрол Жаргалант  минерал Хана Голд Энд Жэм Монголиа Тахир гол Гоби Коул энд Энержи Петро Матад Төгрөг нуурын энержи Полимет монголд Хансул Нордвинд Бэрлэг майнинг Рео Эм Жи Би Аревамонгол АУМ Элтрана Рэдхил Монголиа Эрвэн хүдэр Миндуо тайди Эрдэнэ линк Саус гоби сэндс Никуайро Эф Эйч Эл Эм Өү Өү Ай Си Өү Говиекс монголиа Зост ресорсиз Эс Ар Эм Соломон Ментую Их монгол майнинг Эрдэнэ жас Шинсан хөкуане Алтарганахайрхан Энцэр Говь хурах  Нуклер Энержи Үнэт эрдэнэ Могол интэрнэшнл Лхагва жин Эрдэнийн эрдэнэс М Си  Эс Зон хэн юу тиан Капкорп Шейман Чингисийн хар алт Өмний их тал Азиа гоулд монголиа Жи Зэй Эм Кэй Андын илч Мандал-Алтай групп Хангад-Эксплорэйшн  Кевин-Инвест Нью саймин рисорсэс Мөнх саяан Говь мастер Говь мастер ОНТРЭ Брэйв харт ресорсиз Гови екслэнд монголия Шар нарст Бэрх ресорсиз Адамас маунтин И Эй Эм хөх адар МОЭНКО Шин дунфан Спейшл майнз Гаррисон-Азия Кёкүшю монгол холдинг Пенинсула майнинг Алмаз групп Хөх хархираа Трейжа Маунтайн Интернэшнл Май Пи боди винсвэй ресорсез Ялумба Эс Би Эф Сайном голд монгол Монспар Кенже Эрдэс налайх Орд трейд Эхийн сэтгэл Таван шүтээн трейд Цагаан ташаа Гэрэлт-Орд Мон ажнай Сонсголон бармат Хилийн цэргийн 119-р анги Монгол керамик Уянган Их Монгол Шувуу Очирууд Барилга орд Гэрэлт гурван од Адил-оч Түшиг- Индустраль Ай эс Ти констракшн Үүрт гоулд Ариун өрнөх Чинтөгс ЦДЦ Энгүй тал Цэнэговь Хунан жинлэн Гео Гоулд ОАЭ Эй Кэй Эм Юу Бадамлах Очир Голден тайга Хуади куонеэ Тээлийн шонхор Чамин-Алт Тундер клап Шинэ шуудан Арвижихмандал Монлаа Жем-Интернэшнл Жи Эл Ди Ви Баяжмал алт Баян Жонш Тайшэн девелоп тегт Чинбөлай Арзүүн гол Эпидот Эринговь Гурван талст Сантхаан АШБ Ди Зэт анд Ай Коулд голд монгол Дунар-Од Бат-Алт төв Жи Би Лийз Золотой Виктория СС монголиа Аниш Би Эйч Эм Монгол цамхаг Эм Си Ти Ти  Баруун монголын металл Мон-Элс Эм Энд Даймонд АФК ТАВТ Эй Би Ди И Өүякуаней Их-Ачмаг Кью Жи Экс монгол Геосан Самех Лон шэнда Номун богд ЗБАА Деронг монголиа Ти Ар Ай Эм Эм Ди Ви Жи Эйч Баярс констракшн Шарын гол трейдинг Сод-Ертөнц Марко поло Шинэ-Эрдэс Алтай хангай бүрд Лучеро Флинк монголиа Булган гангат ГБМБ Жи Жи Эс Эс Аниан ресорсиз Баялаг жонш Алтай голд Жи энд Юу Голд Баян айраг эксплорэйшн Иххан уул ХОТУ Ордос трейд Олова Ди Жи Эм Монжин далай Болд төмөр ерөө гол Монлид трейд Коммод Өрмөн-Уул Кожеговь Сант гэсэр Түмэн-Анд Очир-Ундраа Идэр монгол Тэнүүн байгаль Цэвдэг Баянтэгш импекс Цэнгэг орог Шижир Аринжин Айвуун тэс Таац мөрөн Оюуны хишиг Монгол жүюаньли Эм Си Си Эм Жинди зи юиан Хүрэм- тийн хяр Голден погада Жоншт газар Өгөөмөр газар  Бүркит корпораци Сод маргад Каверн болд Хожуулын эх Юниверсал коппер Рио-Ад Собт трейд Голден трайнгле Ява-Оникс Нью-Опем Тунсинь Нью Хаппи Эс Кью Эс Афро азия минералз Ашиан лийд Хаан гарди Дорнын шим Мэня Куан ие Монсас-Интернэшнл Шидэт-Од Энержи ресурс Хоргын чулуу ЖМЭ Хэмчиг голд Зуунмод уул Шаншимэжо Багатаян Хос хас Мондулаан трейд МЕС Ричмөнх Шижир талст Илчит металл Алтан шагай Шинь Шинь Вестерн Простектор Монголиа Чайлдсан Эрхэс майнинг Хатан цацал Туул-Оюут Корет илч хүч Тэнгри петро чемикалс Мега майнз монголиа Лугийн гол Бумбат ресорсес Луже-Орд Шинхэн хайрхан УБТТТ Би Эс Ай Интер глобал Дөрвөн их эе Үринара Дадизи  юиан Голден крос Амирлангүй үжин Мик майнинг Гоби Энержи партнерс Нью флюорид Ододгоулд Гео сигналс БС Санчир Мон триумф Их-Өвөлжөө Эрэлчин Ю Энд Би Сүйхэнт Чулуут-Интернэшнл Мөнх майнинг Монрос пром Уголь Дриймлэнд Монгол   руд пром Мон Тиандэ Пауэр лэнд Хүслэмж Зүрийн булан Тод Ундрага Жинхуа орд Булуу цагаан Хайрхан Хишиг-Оргилуун Урт Хошуу Жунзэнь Жотойн бажууна МБГЦ Түвшин гарав Сэншивэе Монгол Петро коал Найн гоулд интернэйшнл Золотая корона Голден орд Майнинг Ноён гари Говьшоо Хул морьт майнинг Мөнх майнинг  Баярс гоулд Ди Кю И интернейшнл Монгол Мега пласт Монголиа Баялаг Газар Ноён Тохой Трейд Монгор тех Эрчим-Импекс Адамас майнинг Заамарын Их Алт Хан шижир Капитал авто сервис Таван Хангал Трейд Оюутбэл Эйч Би Си Орчлон-Орд Өнгөт-Оюу МУУБ Төсөлч Шагай Эж-Эрдэнэ Зоос гоулд Нун Ти энд Ти юникс Доурадо Агм майнинг Кормон майн хаус Сити Сүлжээ Монгол метал майнинг Талбулаг Трейд Чингэл бөөн цагаан Морьт хангай Шим технолоджи Уулс заамар Могойн Гол  Шарын гол Идэр хайрхан Тэгшхан Штн Нэгдэл Хэрлэн-Импекс Найнги Адуун чулуун Баянтээг Төв Азийн уран Одцэ Улаан начин Эрдэс-Увс Шохой цагаан булаг Цайрт минерал Баян эрдэс Бэрх-Уул Шанд ундарга Толгойтын гол Эрдэнэсмайнинг Хамар зам Цемент шохой Аварга тосон хэнтий Тэвшийн говь Хотгор Эргэмэг Дархан алтан туул Арвинхад Алх чулуу Шарын гол энерго Зүбгол Уулсноён Силикат Түшиг-Уул Арвин-Од Булган-Инвест Монжап-интернэйшнл Шанлун Скарн Миранф моорид Эрдэнийн хөгжил Тефис Майнинг Дархан эрдэнэ бүрэн Мон вольфрам Эмээлт майнз Арвин хур Кайнар вольфрам Баялаг богд Цозгор Баян-Эрч Илтгоулд Эхдэлхий шинтай Гүнбилэг гоулд Хонг чангли Болд фоарда Самтан морес Минг хонгда Говьгео Нийслэл-Өргөө Жин тайхэ Амин цэцэг Си Эм Кей Ай Идэр гоулд Талст орчлон Баянмодот-Уул Шувуун-Уул  Монгол хан хоршоо Шиба Мон сөнөд Дархан Молор Эрдэнэ Хустай ерөө Сэлэнгэ майнинг Хотын зам Монголиа девелопмент ресорсес Сон гоулд МЭАТ Далан булаг трейд ДБТХ Болор жонш Хан дээж Тэвшийн нүүрс       </t>
    </r>
  </si>
  <si>
    <r>
      <t>ХХК</t>
    </r>
    <r>
      <rPr>
        <sz val="8"/>
        <color theme="1"/>
        <rFont val="Arial"/>
        <family val="2"/>
      </rPr>
      <t xml:space="preserve">ХХК ХХК ХХК ХХК ХХК ХХК ХХК ХХК ХХК ХХК ХХК ХХК ХХК ХХК ХХК ХХК ХХК ХХК ХХК ХХК ХХК ХХК ХХК ХХК ХХК ХХК ХХК ХХК ХХК ХХК ХХК ХХК ХХК ХХК гадаад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ТӨҮГ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ХК 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ХХК       </t>
    </r>
  </si>
  <si>
    <r>
      <t>=SUM(BK15:BK27)</t>
    </r>
    <r>
      <rPr>
        <sz val="8"/>
        <color theme="1"/>
        <rFont val="Arial"/>
        <family val="2"/>
      </rPr>
      <t xml:space="preserve">=SUM(BL15:BL27) =SUM(BM15:BM27) =SUM(BN15:BN27) =SUM(BO15:BO27) =SUM(BP15:BP27) =SUM(BQ15:BQ27) =SUM(BR15:BR27) =SUM(BS15:BS27) =SUM(BT15:BT27) =SUM(BU15:BU27) =SUM(BV15:BV27) =SUM(BW15:BW27) =SUM(BX15:BX27) =SUM(BY15:BY27) =SUM(BZ15:BZ27) =SUM(CA15:CA27) =SUM(CB15:CB27) =SUM(CC15:CC27) =SUM(CD15:CD27) =SUM(CE15:CE27) =SUM(CF15:CF27) =SUM(CG15:CG27) =SUM(CH15:CH27) =SUM(CI15:CI27) =SUM(CJ15:CJ27) =SUM(CK15:CK27) =SUM(CL15:CL27) =SUM(CM15:CM27) =SUM(CN15:CN27) =SUM(CO15:CO27) =SUM(CP15:CP27) =SUM(CQ15:CQ27) =SUM(CR15:CR27) =SUM(CS15:CS27) =SUM(CT15:CT27) =SUM(CU15:CU27) =SUM(CV15:CV27) =SUM(CW15:CW27) =SUM(CX15:CX27) =SUM(CY15:CY27) =SUM(CZ15:CZ27) =SUM(DA15:DA27) =SUM(DB15:DB27) =SUM(DC15:DC27) =SUM(DD15:DD27) =SUM(DE15:DE27) =SUM(DF15:DF27) =SUM(DG15:DG27) =SUM(DH15:DH27) =SUM(DI15:DI27) =SUM(DJ15:DJ27) =SUM(DK15:DK27) =SUM(DL15:DL27) =SUM(DM15:DM27) =SUM(DN15:DN27) =SUM(DO15:DO27) =SUM(DP15:DP27) =SUM(DQ15:DQ27) =SUM(DR15:DR27) =SUM(DS15:DS27) =SUM(DT15:DT27) =SUM(DU15:DU27) =SUM(DV15:DV27) =SUM(DW15:DW27) =SUM(DX15:DX27) =SUM(DY15:DY27) =SUM(DZ15:DZ27) =SUM(EA15:EA27) =SUM(EB15:EB27) =SUM(EC15:EC27) =SUM(ED15:ED27) =SUM(EE15:EE27) =SUM(EF15:EF27) =SUM(EG15:EG27) =SUM(EH15:EH27) =SUM(EI15:EI27) =SUM(EJ15:EJ27) =SUM(EK15:EK27) =SUM(EL15:EL27) =SUM(EM15:EM27) =SUM(EN15:EN27) =SUM(EO15:EO27) =SUM(EP15:EP27) =SUM(EQ15:EQ27) =SUM(ER15:ER27) =SUM(ES15:ES27) =SUM(ET15:ET27) =SUM(EU15:EU27) =SUM(EV15:EV27) =SUM(EW15:EW27) =SUM(EX15:EX27) =SUM(EY15:EY27) =SUM(EZ15:EZ27) =SUM(FA15:FA27) =SUM(FB15:FB27) =SUM(FC15:FC27) =SUM(FD15:FD27) =SUM(FE15:FE27) =SUM(FF15:FF27) =SUM(FG15:FG27) =SUM(FH15:FH27) =SUM(FI15:FI27) =SUM(FJ15:FJ27) =SUM(FK15:FK27) =SUM(FL15:FL27) =SUM(FM15:FM27) =SUM(FN15:FN27) =SUM(FO15:FO27) =SUM(FP15:FP27) =SUM(FQ15:FQ27) =SUM(FR15:FR27) =SUM(FS15:FS27) =SUM(FT15:FT27) =SUM(FU15:FU27) =SUM(FV15:FV27) =SUM(FW15:FW27) =SUM(FX15:FX27) =SUM(FY15:FY27) =SUM(FZ15:FZ27) =SUM(GA15:GA27) =SUM(GB15:GB27) =SUM(GC15:GC27) =SUM(GD15:GD27) =SUM(GE15:GE27) =SUM(GF15:GF27) =SUM(GG15:GG27) =SUM(GH15:GH27) =SUM(GI15:GI27) =SUM(GJ15:GJ27) =SUM(GK15:GK27) =SUM(GL15:GL27) =SUM(GM15:GM27) =SUM(GN15:GN27) =SUM(GO15:GO27) =SUM(GP15:GP27) =SUM(GQ15:GQ27) =SUM(GR15:GR27) =SUM(GS15:GS27) =SUM(GT15:GT27) =SUM(GU15:GU27) =SUM(GV15:GV27) =SUM(GW15:GW27) =SUM(GX15:GX27) =SUM(GY15:GY27) =SUM(GZ15:GZ27) =SUM(HA15:HA27) =SUM(HB15:HB27) =SUM(HC15:HC27) =SUM(HD15:HD27) =SUM(HE15:HE27) =SUM(HF15:HF27) =SUM(HG15:HG27) =SUM(HH15:HH27) =SUM(HI15:HI27) =SUM(HJ15:HJ27) =SUM(HK15:HK27) =SUM(HL15:HL27) =SUM(HM15:HM27) =SUM(HN15:HN27) =SUM(HO15:HO27) =SUM(HP15:HP27) =SUM(HQ15:HQ27) =SUM(HR15:HR27) =SUM(HS15:HS27) =SUM(HT15:HT27) =SUM(HU15:HU27) =SUM(HV15:HV27) =SUM(HW15:HW27) =SUM(HX15:HX27) =SUM(HY15:HY27) =SUM(HZ15:HZ27) =SUM(IA15:IA27) =SUM(IB15:IB27) =SUM(IC15:IC27) =SUM(ID15:ID27) =SUM(IE15:IE27) =SUM(IF15:IF27) =SUM(IG15:IG27) =SUM(IH15:IH27) =SUM(II15:II27) =SUM(IJ15:IJ27) =SUM(IK15:IK27) =SUM(IL15:IL27) =SUM(IM15:IM27) =SUM(IN15:IN27) =SUM(IO15:IO27) =SUM(IP15:IP27) =SUM(IQ15:IQ27) =SUM(IR15:IR27) =SUM(IS15:IS27) =SUM(IT15:IT27) =SUM(IU15:IU27) =SUM(IV15:IV27) =SUM(IW15:IW27) =SUM(IX15:IX27) =SUM(IY15:IY27) =SUM(IZ15:IZ27) =SUM(JA15:JA27) =SUM(JB15:JB27) =SUM(JC15:JC27) =SUM(JD15:JD27) =SUM(JE15:JE27) =SUM(JF15:JF27) =SUM(JG15:JG27) =SUM(JH15:JH27) =SUM(JI15:JI27) =SUM(JJ15:JJ27) =SUM(JK15:JK27) =SUM(JL15:JL27) =SUM(JM15:JM27) =SUM(JN15:JN27) =SUM(JO15:JO27) =SUM(JP15:JP27) =SUM(JQ15:JQ27) =SUM(JR15:JR27) =SUM(JS15:JS27) =SUM(JT15:JT27) =SUM(JU15:JU27) =SUM(JV15:JV27) =SUM(JW15:JW27) =SUM(JX15:JX27) =SUM(JY15:JY27) =SUM(JZ15:JZ27) =SUM(KA15:KA27) =SUM(KB15:KB27) =SUM(KC15:KC27) =SUM(KD15:KD27) =SUM(KE15:KE27) =SUM(KF15:KF27) =SUM(KG15:KG27) =SUM(KH15:KH27) =SUM(KI15:KI27) =SUM(KJ15:KJ27) =SUM(KK15:KK27) =SUM(KL15:KL27) =SUM(KM15:KM27) =SUM(KN15:KN27) =SUM(KO15:KO27) =SUM(KP15:KP27) =SUM(KQ15:KQ27) =SUM(KR15:KR27) =SUM(KS15:KS27) =SUM(KT15:KT27) =SUM(KU15:KU27) =SUM(KV15:KV27) =SUM(KW15:KW27) =SUM(KX15:KX27) =SUM(KY15:KY27) =SUM(KZ15:KZ27) =SUM(LA15:LA27) =SUM(LB15:LB27) =SUM(LC15:LC27) =SUM(LD15:LD27) =SUM(LE15:LE27) =SUM(LF15:LF27) =SUM(LG15:LG27) =SUM(LH15:LH27) =SUM(LI15:LI27) =SUM(LJ15:LJ27) =SUM(LK15:LK27) =SUM(LL15:LL27) =SUM(LM15:LM27) =SUM(LN15:LN27) =SUM(LO15:LO27) =SUM(LP15:LP27) =SUM(LQ15:LQ27) =SUM(LR15:LR27) =SUM(LS15:LS27) =SUM(LT15:LT27) =SUM(LU15:LU27) =SUM(LV15:LV27) =SUM(LW15:LW27) =SUM(LX15:LX27) =SUM(LY15:LY27) =SUM(LZ15:LZ27) =SUM(MA15:MA27) =SUM(MB15:MB27) =SUM(MC15:MC27) =SUM(MD15:MD27) =SUM(ME15:ME27) =SUM(MF15:MF27) =SUM(MG15:MG27) =SUM(MH15:MH27) =SUM(MI15:MI27) =SUM(MJ15:MJ27) =SUM(MK15:MK27) =SUM(ML15:ML27) =SUM(MM15:MM27) =SUM(MN15:MN27) =SUM(MO15:MO27) =SUM(MP15:MP27) =SUM(MQ15:MQ27) =SUM(MR15:MR27) =SUM(MS15:MS27) =SUM(MT15:MT27) =SUM(MU15:MU27) =SUM(MV15:MV27) =SUM(MW15:MW27) =SUM(MX15:MX27) =SUM(MY15:MY27) =SUM(MZ15:MZ27) =SUM(NA15:NA27) =SUM(NB15:NB27) =SUM(NC15:NC27) =SUM(ND15:ND27) =SUM(NE15:NE27) =SUM(NF15:NF27) =SUM(NG15:NG27) =SUM(NH15:NH27) =SUM(NI15:NI27) =SUM(NJ15:NJ27) =SUM(NK15:NK27) =SUM(NL15:NL27) =SUM(NM15:NM27) =SUM(NN15:NN27) =SUM(NO15:NO27) =SUM(NP15:NP27) =SUM(NQ15:NQ27) =SUM(NR15:NR27) =SUM(NS15:NS27) =SUM(NT15:NT27) =SUM(NU15:NU27) =SUM(NV15:NV27) =SUM(NW15:NW27) =SUM(NX15:NX27) =SUM(NY15:NY27) =SUM(NZ15:NZ27) =SUM(OA15:OA27) =SUM(OB15:OB27) =SUM(OC15:OC27) =SUM(OD15:OD27) =SUM(OE15:OE27) =SUM(OF15:OF27) =SUM(OG15:OG27) =SUM(OH15:OH27) =SUM(OI15:OI27) =SUM(OJ15:OJ27) =SUM(OK15:OK27) =SUM(OL15:OL27) =SUM(OM15:OM27) =SUM(ON15:ON27) =SUM(OO15:OO27) =SUM(OP15:OP27) =SUM(OQ15:OQ27) =SUM(OR15:OR27) =SUM(OS15:OS27) =SUM(OT15:OT27) =SUM(OU15:OU27) =SUM(OV15:OV27) =SUM(OW15:OW27) =SUM(OX15:OX27) =SUM(OY15:OY27) =SUM(OZ15:OZ27) =SUM(PA15:PA27) =SUM(PB15:PB27) =SUM(PC15:PC27) =SUM(PD15:PD27) =SUM(PE15:PE27) =SUM(PF15:PF27) =SUM(PG15:PG27) =SUM(PH15:PH27) =SUM(PI15:PI27) =SUM(PJ15:PJ27) =SUM(PK15:PK27) =SUM(PL15:PL27) =SUM(PM15:PM27) =SUM(PN15:PN27) =SUM(PO15:PO27) =SUM(PP15:PP27) =SUM(PQ15:PQ27) =SUM(PR15:PR27) =SUM(PS15:PS27) =SUM(PT15:PT27) =SUM(PU15:PU27) =SUM(PV15:PV27) =SUM(PW15:PW27) =SUM(PX15:PX27) =SUM(PY15:PY27) =SUM(PZ15:PZ27) =SUM(QA15:QA27) =SUM(QB15:QB27) =SUM(QC15:QC27) =SUM(QD15:QD27) =SUM(QE15:QE27) =SUM(QF15:QF27) =SUM(QG15:QG27) =SUM(QH15:QH27) =SUM(QI15:QI27) =SUM(QJ15:QJ27) =SUM(QK15:QK27) =SUM(QL15:QL27) =SUM(QM15:QM27) =SUM(QN15:QN27) =SUM(QO15:QO27) =SUM(QP15:QP27) =SUM(QQ15:QQ27) =SUM(QR15:QR27) =SUM(QS15:QS27) =SUM(QT15:QT27) =SUM(QU15:QU27) =SUM(QV15:QV27) =SUM(QW15:QW27) =SUM(QX15:QX27) =SUM(QY15:QY27) =SUM(QZ15:QZ27) =SUM(RA15:RA27) =SUM(RB15:RB27) =SUM(RC15:RC27) =SUM(RD15:RD27) =SUM(RE15:RE27) =SUM(RF15:RF27) =SUM(RG15:RG27) =SUM(RH15:RH27) =SUM(RI15:RI27) =SUM(RJ15:RJ27) =SUM(RK15:RK27) =SUM(RL15:RL27) =SUM(RM15:RM27) =SUM(RN15:RN27)       </t>
    </r>
  </si>
  <si>
    <r>
      <t>0</t>
    </r>
    <r>
      <rPr>
        <sz val="8"/>
        <color theme="1"/>
        <rFont val="Arial"/>
        <family val="2"/>
      </rPr>
      <t xml:space="preserve">0 500 10 238 5855.4 17258.9 390 5222.6 116.7 1087.6 0 5 5490.6 0 0.1 0 100 7500 3570.6 20 100 0 5 0 0 6575.5 0 28407.9 11025 25.4 0 0 5 0 0.1   90 106173.3 10 1 20000 4350 120 20 5     234.2 150   34.2   430907.8 22848.3 7336.8   300   173146.4 4899.5   =3874.6+645.5 234406.8 63845.8   600 10 10 182.7     5 10 13083.2 4481.7 592394.4 80 0.1 0 6.9 10 19806.8 10 0 32628.6 16845.8 10     73.2 0 127.2 79.4 0 64.7 5 11000 0 10361.1 10342 0.3 1279.8 0 0 15 251.7 0 1104.8 8186.1 0 81.3 223.5 17452.3 30 0 300 10 20 0 10 67629.7   400   600   24336 325981.2 250 52.2     100 33596.1 20 20 600 50 0 38 4142.7 0 10 0 1 10821.9 1030.7     13235.9 20 1987.8 30869.8 0 3600 10 600 13882.8 4365.7     5 6010 688.7 5 250 3802.6   410 5 0 0 0 0 0 500 10 0 13203.6 3010 0 56709.1 6236.2 8529.3 0 0 20 50 6138906.2 20 10413.3 100000   0.1 3561.7 209749.1 106.8 0 0 835 10   5 27134.3 10 1343.3 50.6 200       15   10 10       22880.5   5860.8   141044.1 20 610 616.1 100   600 50 15 793.1 13326097.9 2.8 147 0 0 110 0 234.9 8795.8 29511.8 10 2979.1 1761.6 10 50 0 0 0 0 2200         1225   100 20   20     12750.8     10   20 15942.2 1000 50 44.5 166.2 10 1473.9 1300 949.9 50 123373.2 5.2 9138.2 30 2490 0 6500 0 3514.3 20 0 84000 0 560.6 0 0 30 0 3989.6 210 7500 2147.1 4724.1       22.5 42329.8 4294.1 465.1 0 0 34807.4 1025.1 13195 0 1130   400.7 300 10   450 0.1 0 0 1390.6 0   11435.9 20 0 0 1169.1 0 20 7433 15171.6 1000 143715.8 350 0 402.7 212 232.5 40298 0 10 185.5 0 34.3 0 23229110.2 189.2 4605 33 641.7 828.5 10 129532.8 2600 0 12446.9 5 33.4 0 0 100 1598.1 915.7 5 47.2 100.3 2415.4 500 25500 2 0 0 117084.5 1 672.9 0 11316.6 1.1 10 90 80799.7 510.6 0 1 71.6 1000 6529 50 19307 3533.1 430 3377.9           52.5 214.5   5     7172.4 60936.8     88.9     124.5 443.6       </t>
    </r>
  </si>
  <si>
    <r>
      <t> </t>
    </r>
    <r>
      <rPr>
        <sz val="8"/>
        <color theme="1"/>
        <rFont val="Arial"/>
        <family val="2"/>
      </rPr>
      <t xml:space="preserve">        571.6   =7857.5+564.1                       =307.9+68.2       =3376.1+7334.1         473.6 1359.3 38.7 1156.9                                                                                 29409.8             12569.6           1045.9                           22044.3             21948.5     142.2           2443.4             1403.3                                                               6232.4                                   11312.4                 760.7               5753208.8     3121.9     24204.6         4686.2                                             10268.6                               6244.4   29332.6 52.1         199391.1   1248.8                                                                                                                             1664.9                                               6177.6       18365.1           =1233.2+9797.8             222319.8             30967.2 181.7                         692.3   12636.2       190.2 33.1     406.1       8554.9                                                                     </t>
    </r>
  </si>
  <si>
    <r>
      <t>0</t>
    </r>
    <r>
      <rPr>
        <sz val="8"/>
        <color theme="1"/>
        <rFont val="Arial"/>
        <family val="2"/>
      </rPr>
      <t xml:space="preserve">0 0 0 8680.4 =30987.7+1200.4 0 =16500.8+1184.5 0 0 1558.4 0 7444.2 0 0 0 0 0 0 =866.9+143.2 0 0 0 =7089.9+15401.5 0 0 0 0 994.5 2854.6 81.3 2429.6 0 0 2969.1       223300                             421812.6       10         =6192.6+1561                   61760.6   111955.8   93448.5 0 0 26396.1 0 0 0 0 0 2196.6 8608.2 0     1012.2 947.3 993 180.8 1396.1 0 794.4 81549.2 2039.4 =51700+46293.1 143.8 0 12578.5 0 0 525 =46091.9+143.6 0 15349.4 298.6 0 0 8520.2 0 0 5131.2 0 0 0 0 0 175650 2947.1 0         1649991.4                 2000 0 0 230 0 0 0 11 1 52.2 1     56.9 0 4088.7 0 13088.1 3600 0 0 9090.9 247673.4 46781.5                     0 23756.1 0 0 0 0 0 0 0 0 1597.5 28259.5 0 0 0 0 0 0 =50000+12081738.5 0 0 6556.1   0 =24000+50829.7 327397.4 0 0 0 9841.1                                         7716.8   21563.9 0           0 0 0 0 0 0 0 0 0 13113.3 0 61598.4 =49343.2+109.4 0 0 18071 74.9 =10+419635.9 0 2622.7 5000 0                                         25823.3 163 0 0 0 0 0 0 0 0 714 0 5 3 0 0 0 0 0 0 0 0 0 0 0 0 0 0 0 0 0           74500 0 0 0 3496.3 0 0 0 0 161.2           0 0 7210 4000 0 0     0 0 0 15146.5 3480 =5306+12972.9 754.4 7224.3 58304.1 =416253+38566.5 500 0 5009 20 755.9 =211967.7+2589.6+20575.3 54601.7 0 430.1 0 718.7 0 466914.5 16560.7 32680.1 0 0 0 0 =1135148.6+65031.2 381.7 17154.9 34070 0 0 0 12104.4 0 0 0   11413.6 0 1453.8 0 =20+26439.9 0 0 0 399.5 69.5 0 1 =5000+852.9 0 569.3 0 17965.5 0 0 0         10033.3 9969.8   5             745.5 864.6 674.8     98220 129.6     44.5               </t>
    </r>
  </si>
  <si>
    <r>
      <t> </t>
    </r>
    <r>
      <rPr>
        <sz val="8"/>
        <color theme="1"/>
        <rFont val="Arial"/>
        <family val="2"/>
      </rPr>
      <t xml:space="preserve">                                                                                                                                                                                                                                                                                                                                                                                                                                                                                                                                                                                                                                                                                                                                                                                                                                                                            </t>
    </r>
  </si>
  <si>
    <r>
      <t>0</t>
    </r>
    <r>
      <rPr>
        <sz val="8"/>
        <color theme="1"/>
        <rFont val="Arial"/>
        <family val="2"/>
      </rPr>
      <t xml:space="preserve">0 0 6153.4 0 0 10693.2 0 632 0 0 0 2726.9 0 0 0 0 0 3402 0 0 0 0 45334.6 0 0 2649.5 0 604370.2 0 0 46540.4 0 0 3764362.8                                             7037.5 2041.3   =179409.4+68876.7 39862.6 17855.6                           2560 0 0 0 0 0 5271.5 0 3149 2041.9 0 22594.1   4900 706.4 293.8 540 190 422.5 80 0 0 0 0 0 0 0 0 0 0 67956.3 1885.5 0 9397.5 564.6 3670.8 0 0 0 37042.4 0 0 0 5957.3 459.7     24583       334620.6   0 1688.4 3177.6             0 0 7191.9 0 0 0 0 0 16589.9 =2217.8+5175     38802.6 0 2361.4 0 7373.9 0 0 0                     21145     0 5291.7 0 8215.5 96376.4 0 0 0 52336.3 0 2000 0 0 29838.2 0 0 0 0 8827571.4 0 0 247305.7   0 0 0 0 0 2663.4 20000 10379.8 7575.9 17031.8 =50268.2+15080.5 3477.3 23548.7 300 1816.7                             960000 4852.3           0 4627.9 2422.1 14048458.6 0 1984.3 0 0 0 5157.2 0 =153313.2+65705.6 0 0 175764.5 21599.1 0 612780 0 4370.3 0 0                                       208845.2   2976.1 2555 0 1369.5 0 0 22500 0 3780 0 65260.3 0 22706.3 2489.2 25779.1 5458.1 0 0 0 0 0 16806.3 0 0 0 0 0 1733.1 0 5678.3 26821.8         0 6653 3088.6 0 0 0 70398.7 55023.8 0 0           9256.4 0 1400 0 0 0     0 0 0 0 20.3 0 0 2085 22801.5 228370.7 0 1333 0 7177.6 0 67615.5 14991.4 0 0 0 0 0 9343003.4 2634.3 13239 0 6345.7 0 0 45506.1 0 4489.6 0 0 0 0 0 0 0 0 600 7600 0 0 0 255543.2 0 0 192.4 0 300 14922   0 0.5 1328.8 0 131166.2 16266.4 0 0 12003.3 661.1   2252       107500 17512 1300 8000     325                         525.9 173.5       </t>
    </r>
  </si>
  <si>
    <r>
      <t>1534.4</t>
    </r>
    <r>
      <rPr>
        <sz val="8"/>
        <color theme="1"/>
        <rFont val="Arial"/>
        <family val="2"/>
      </rPr>
      <t xml:space="preserve">  41525.2 3731 10658.7 12244.3 23977.7 10116   1155.8 1249.9 60543.4     65987.2   13287.9   =697467.3+140872.2+122201.5   7327.5 14643.3 26647.5   9827.8 52630 505.2   24311   =19941.2+2982.5 37357.4 4744.9 7506 1314802.3 52896.1 20445.7 999710.3 39793.8 11035.7   9934.9 486661.4 239596.2 32599.4 5235 23460.5 34847.3 175910.6 12353.8 394914 11790.5 36824.6         1823.4 39057.6 233539.4 15772.5 236 9865.4 235000.3   13510 =24251.5+11551.2 19551.1 19551.1 1482370.8 96825 39793.8 19130 =171393.9+15325.2 146182 72749 494044.3 4153.5 30926.7 =23612.5+9.1   20780.1 7363.1 1477.7 2318.9 =279491.5+565138.2   2090.4 =28000.3+33424.2 851.3   1893.6 35.9         332.3 209   243.5 10377.8 178.9   2337.4     3305   23624.7 1845.2 8375.1   =69142+8856.9 3292.8 6269 4634.5 26358.6 5105.4 7390     =1099.2+4050   166724.8 18496.7 14512.7 16626.5 42901.1 36097.2 =3836.3+1113 1914.4 8006.4 21799.4 16244.8 8557 94143.5 2578   3736.2 9832.9             1020.4 10231.8     2861.6   104996.9 7511.3   150 11991.3 40526.5       =47945.9+18811.4 8324.5 140156.7 128938.6 24325.1 108755.9 44429.2 =34635+11674.3+16750.2 2570.5 21498.5 14470.4 11448.8 21525 75543.2 9330.9 12997.7 5443.5     597.6 103439   15353.4   141978.1 8066.5 10399.1 2456.9 14317.6   3292.8 28391 3208.9 141882.7   761512.8   15302.6 3917.2   2787.6 7107.7 1756.6 8127.8       2375.5 1960.9 10672.8   21045.7 22451.6 5688.5 3324.1 9454.1 12337.9 =17311.3+1702.3 13508.7 26533.9 =12375.8+47895.1 15482.9   3744.1 1685.1 3983.1   12736.8 36824.6 30076.5 3694 14024.3   1767 422.9 25517.4       61035.9 579.6 1821.7 27709.9 2413.5   19859   432.5   32065.1 =21164+126472.6 3885.2 13343.9 9266.8 65010.2 27468.9 23181.1 14422.7 1464.4 182154.1 43598.5 8024.9 26954.9 77703 44136.8 6222.7 14392.6 997.8 134953.8 7922.3 14135.5   1067 79599.5 12161.9 5511.3   558.7 2594.2 6234.5 836.9 2229.6 12864.9 12751.5   14529 243.7 18159.5 8267.1 5565.4   1231 2415.7 1437 9117   4828.2 368.6 11701 1017 4682.1         942 8427.3 1997.7 18151.3     1804.5     =2501.9+1794.3+523.4 =107702.5+6898.8 =27333.2+6555.3+18027.1 12848.6   1247.3 668.7 8188.2 55520.9 17107.1 3837.2     2074   4760.9 =2726.1+1606.1 17290.9 205614.9 2053.9   6315.9 9426.3         631.9 1145 432.2 189.5 397.5 91.8 `   3862.6               16224.9     4147.6   396 5054.2 176.8 764.5   636.8 1016.4   527.7 1963.2 4971.5 170.9 13303.3   13321.7 10369.7 =20392.8+10598.5 5740.4     689810.9     122124.2   20892.3 =715.8+1550.8 2289   6618.5 5787.1 991.8 487.3 749.3 =202728.8+193892.4 5503.1 10807.1 21549.9             3315.4     187.2     3461.2       191.3 379.5 25167.2 695.3 336.9         </t>
    </r>
  </si>
  <si>
    <r>
      <t>0</t>
    </r>
    <r>
      <rPr>
        <sz val="8"/>
        <color theme="1"/>
        <rFont val="Arial"/>
        <family val="2"/>
      </rPr>
      <t xml:space="preserve">0 0 28272 0 0 50006.7 633376.1 0 1000 0 0 0 0 0 0 0 0 0 0 0 0 0 0 0 0 0 0 2637476.6 0 0 0 0 0 0                                               10343.1   1147577.9                               0 0 0 0 0 0 21020.7 0 0 0 0 96974.5     0 0 0 0 0 0 0 0 0 0 0 131670.4 0 0 0 0 0 7386.1 0 104224.2 2328.6 15777.8 0 11237.1 0 123982.1 0 0 0 26542.9 0     80751.6             8878.4               0 0 23324 0 0 0 0 0 0 37079.8       0 0 0 27105.7 0 0 0                           0 24195.8 0 28959.2 397396.2 0 0 0 0 0 109000 0 0 117699 0 0 0 0 0 0 0 1041295.5   0 0 0 0 0 20116.2 0 48758.3 48202.5 76716.2 214876.6 14626.8     9054                             0 20307.3           0 0 0 0 0 7949.7 0 0 0 21540.7 0 976520.4 0 0 701399.2 0 0 0 0 20729.7 0 0                                       929895   15005.2 0 0 5650.2 0 0 0 0 0 0 0 0 0 10906 113901.5 20442.2 0 0 0 0 0 86285.7 0 0 0 0 0 7310.3 0 55591.4           0 28784.4 13398.4 0 0 0 299863.5 240154.3 0 0           41265.4 0 0 0 0 0     0 0 0 0 0 1500 0 0 0 0 0 0 0 0 0 0 0 0 0 0 0 0 0 11067 25881.3 0 22832.5 0 0 0 0 0 0 0 0 0 0 0 0 0     0 0 0 0 0 0 0 0 0 0 0 0 0 4100 0 0 77176.5 0 0                                                               </t>
    </r>
  </si>
  <si>
    <r>
      <t> </t>
    </r>
    <r>
      <rPr>
        <sz val="8"/>
        <color theme="1"/>
        <rFont val="Arial"/>
        <family val="2"/>
      </rPr>
      <t xml:space="preserve">                                                12.5                                                                                                                                                                                                                                                                                                                                               12.5                                                                                                                                                                                                                                                                                                                                                                                                                                                                           </t>
    </r>
  </si>
  <si>
    <r>
      <t> </t>
    </r>
    <r>
      <rPr>
        <sz val="8"/>
        <color theme="1"/>
        <rFont val="Arial"/>
        <family val="2"/>
      </rPr>
      <t xml:space="preserve">    2446.6 701.5 8532.8 9005 35379.6 10074.2     55911.1 3319.5 37816.7   74194.4 1144   106778 130600.8 20207.7   3857.2 7055.5 498.4 21132.7   18930.4 93374.9 21422.9 19605 27257.7 4026.7   1608562.8     7299.4 137309.3 4591.8 3698.1   128400 25460 1188     10605.2 79635.3 689.8 29504.4     352622.6 2101.8 680.4 34996.5 10024   50786.5     9994.3 197834.9 17853.7 18994.2           22112.8   5009.1 29680.3 5666.3 491363.8 276.5 19532.8 41840.6 504 7053.5     25606.2 332881.3 11549.6 12331.4 7439.8 766.1 1193.2 1693.5 1172.4 447.1   680.4   15015 6386.1   57203.3 6073 6478.4   1332.3 803.1 32249.3 5485.5 18550 31160 9321.1   2552     4943.6           32750 1200 13761       20532.5 197971.2 8723   2181.8 2371.3     435.6   4101.3     3307 5957.3 2669.2       26811.2       26565.2   3963.3   7181.1 5150     100064.8 85468.9   13999.7     1107.8 30349.2   2550.5     27716.5 7018.8 7667.8 3014.9 17805.7 49091.5   5986   9599.5 63036.1 25797.8 23496.2 8188 8077.6   7491.3     532076.1   6054 117062.2 499112.7   1442.4 53783.3   1110.1 38659.2 3717.4           12005.5   27135.4 3922.6 30817.7             216290.4     3598.3     15705.7 8284.4   3642.7   2000       5004.3 911060.2 745.2   1024 5455.3     4272.4 300750 103789 3630.1 10831.5 10463.7   142589.9 51341.8 3815.4 7997.7           298 7399.4 1584     1380.6     1619.3 11303.8 16709.9     19153.3   82685.3 20959.2     1976   1617.2   12500   1827   18459.3 3355.6     8332 7276.3 6762     4968 573 4206 2111.2 100   9134.1   323.6   18881 2700       55154.8 22036 1260     8080.4 16077.1 45477.9 26188.4       4716.5   724.5   7088 149.5 3765 4216   469.2 68 50488.4     47361.1 7330.2 1997.6 11627.5 128644.8 19468.1 31955.8 671105.7   1604.9 1768.3   8246.3 139562.2   11175.6     2075.4   375584.4 10573.1   2669 3133.6   3519.5 1145242.2 6465.9 14467.3 27983.7 544.3 84.2   5897.2 7585.7 2127.1 4948.6 14897.9 9985.8 612.4     15335.1     1031.8 127804.7 1269.6   107058.8 16637.2 3463.8 554.4   16787       5104.8 23222.8 20506.9 3312 112340 195829.1 30542 4469.1           1093   2845   289   20000 56230 1386   718.6 33396.7 570.2           </t>
    </r>
  </si>
  <si>
    <r>
      <t>=SUM(BK29:BK37)</t>
    </r>
    <r>
      <rPr>
        <sz val="8"/>
        <color theme="1"/>
        <rFont val="Arial"/>
        <family val="2"/>
      </rPr>
      <t xml:space="preserve">=SUM(BL29:BL37) =SUM(BM29:BM37) =SUM(BN29:BN37) =SUM(BO29:BO37) =SUM(BP29:BP37) =SUM(BQ29:BQ37) =SUM(BR29:BR37) =SUM(BS29:BS37) =SUM(BT29:BT37) =SUM(BU29:BU37) =SUM(BV29:BV37) =SUM(BW29:BW37) =SUM(BX29:BX37) =SUM(BY29:BY37) =SUM(BZ29:BZ37) =SUM(CA29:CA37) =SUM(CB29:CB37) =SUM(CC29:CC37) =SUM(CD29:CD37) =SUM(CE29:CE37) =SUM(CF29:CF37) =SUM(CG29:CG37) =SUM(CH29:CH37) =SUM(CI29:CI37) =SUM(CJ29:CJ37) =SUM(CK29:CK37) =SUM(CL29:CL37) =SUM(CM29:CM37) =SUM(CN29:CN37) =SUM(CO29:CO37) =SUM(CP29:CP37) =SUM(CQ29:CQ37) =SUM(CR29:CR37) =SUM(CS29:CS37) =SUM(CT29:CT37) =SUM(CU29:CU37) =SUM(CV29:CV37) =SUM(CW29:CW37) =SUM(CX29:CX37) =SUM(CY29:CY37) =SUM(CZ29:CZ37) =SUM(DA29:DA37) =SUM(DB29:DB37) =SUM(DC29:DC37) =SUM(DD29:DD37) =SUM(DE29:DE37) =SUM(DF29:DF37) =SUM(DG29:DG37) =SUM(DH29:DH37) =SUM(DI29:DI37) =SUM(DJ29:DJ37) =SUM(DK29:DK37) =SUM(DL29:DL37) =SUM(DM29:DM37) =SUM(DN29:DN37) =SUM(DO29:DO37) =SUM(DP29:DP37)   =SUM(DR29:DR37)     =SUM(DU29:DU37) =SUM(DV29:DV37) =SUM(DW29:DW37) =SUM(DX29:DX37) =SUM(DY29:DY37)     =SUM(EB29:EB37) =SUM(EC29:EC37) =SUM(ED29:ED37) =SUM(EE29:EE37) =SUM(EF29:EF37) =SUM(EG29:EG37) =SUM(EH29:EH37) =SUM(EI29:EI37) =SUM(EJ29:EJ37) =SUM(EK29:EK37) =SUM(EL29:EL37) =SUM(EM29:EM37) =SUM(EN29:EN37) =SUM(EO29:EO37) =SUM(EP29:EP37) =SUM(EQ29:EQ37) =SUM(ER29:ER37) =SUM(ES29:ES37) =SUM(ET29:ET37) =SUM(EU29:EU37) =SUM(EV29:EV37) =SUM(EW29:EW37) =SUM(EX29:EX37) =SUM(EY29:EY37) =SUM(EZ29:EZ37) =SUM(FA29:FA37) =SUM(FB29:FB37) =SUM(FC29:FC37) =SUM(FD29:FD37) =SUM(FE29:FE37) =SUM(FF29:FF37) =SUM(FG29:FG37) =SUM(FH29:FH37) =SUM(FI29:FI37) =SUM(FJ29:FJ37) =SUM(FK29:FK37) =SUM(FL29:FL37) =SUM(FM29:FM37) =SUM(FN29:FN37) =SUM(FO29:FO37) =SUM(FP29:FP37) =SUM(FQ29:FQ37) =SUM(FR29:FR37) =SUM(FS29:FS37) =SUM(FT29:FT37) =SUM(FU29:FU37) =SUM(FV29:FV37) =SUM(FW29:FW37) =SUM(FX29:FX37) =SUM(FY29:FY37) =SUM(FZ29:FZ37) =SUM(GA29:GA37) =SUM(GB29:GB37) =SUM(GC29:GC37) =SUM(GD29:GD37) =SUM(GE29:GE37)     =SUM(GH29:GH37) =SUM(GI29:GI37) =SUM(GJ29:GJ37) =SUM(GK29:GK37) =SUM(GL29:GL37) =SUM(GM29:GM37) =SUM(GN29:GN37) =SUM(GO29:GO37) =SUM(GP29:GP37) =SUM(GQ29:GQ37) =SUM(GR29:GR37) =SUM(GS29:GS37) =SUM(GT29:GT37) =SUM(GU29:GU37) =SUM(GV29:GV37) =SUM(GW29:GW37) =SUM(GX29:GX37) =SUM(GY29:GY37) =SUM(GZ29:GZ37) =SUM(HA29:HA37) =SUM(HB29:HB37)   =SUM(HD29:HD37) =SUM(HE29:HE37) =SUM(HF29:HF37) =SUM(HG29:HG37) =SUM(HH29:HH37) =SUM(HI29:HI37) =SUM(HJ29:HJ37) =SUM(HK29:HK37) =SUM(HL29:HL37) =SUM(HM29:HM37) =SUM(HN29:HN37)   =SUM(HP29:HP37) =SUM(HQ29:HQ37) =SUM(HR29:HR37) =SUM(HS29:HS37) =SUM(HT29:HT37) =SUM(HU29:HU37) =SUM(HV29:HV37) =SUM(HW29:HW37) =SUM(HX29:HX37) =SUM(HY29:HY37) =SUM(HZ29:HZ37) =SUM(IA29:IA37) =SUM(IB29:IB37) =SUM(IC29:IC37) =SUM(ID29:ID37) =SUM(IE29:IE37) =SUM(IF29:IF37) =SUM(IG29:IG37) =SUM(IH29:IH37) =SUM(II29:II37) =SUM(IJ29:IJ37) =SUM(IK29:IK37) =SUM(IL29:IL37) =SUM(IM29:IM37) =SUM(IN29:IN37) =SUM(IO29:IO37) =SUM(IP29:IP37) =SUM(IQ29:IQ37) =SUM(IR29:IR37) =SUM(IS29:IS37) =SUM(IT29:IT37) =SUM(IU29:IU37) =SUM(IV29:IV37) =SUM(IW29:IW37) =SUM(IX29:IX37) =SUM(IY29:IY37) =SUM(IZ29:IZ37) =SUM(JA29:JA37) =SUM(JB29:JB37) =SUM(JC29:JC37)           =SUM(JI29:JI37) =SUM(JJ29:JJ37) =SUM(JK29:JK37) =SUM(JL29:JL37) =SUM(JM29:JM37) =SUM(JN29:JN37) =SUM(JO29:JO37) =SUM(JP29:JP37) =SUM(JQ29:JQ37) =SUM(JR29:JR37) =SUM(JS29:JS37) =SUM(JT29:JT37) =SUM(JU29:JU37) =SUM(JV29:JV37) =SUM(JW29:JW37) =SUM(JX29:JX37) =SUM(JY29:JY37) =SUM(JZ29:JZ37) =SUM(KA29:KA37) =SUM(KB29:KB37) =SUM(KC29:KC37) =SUM(KD29:KD37) =SUM(KE29:KE37)   =SUM(KG29:KG37) =SUM(KH29:KH37) =SUM(KI29:KI37) =SUM(KJ29:KJ37) =SUM(KK29:KK37) =SUM(KL29:KL37) =SUM(KM29:KM37) =SUM(KN29:KN37) =SUM(KO29:KO37) =SUM(KP29:KP37) =SUM(KQ29:KQ37) =SUM(KR29:KR37) =SUM(KS29:KS37) =SUM(KT29:KT37) =SUM(KU29:KU37) =SUM(KV29:KV37) =SUM(KW29:KW37) =SUM(KX29:KX37) =SUM(KY29:KY37) =SUM(KZ29:KZ37) =SUM(LA29:LA37) =SUM(LB29:LB37) =SUM(LC29:LC37) =SUM(LD29:LD37) =SUM(LE29:LE37)   =SUM(LG29:LG37) =SUM(LH29:LH37) =SUM(LI29:LI37) =SUM(LJ29:LJ37) =SUM(LK29:LK37) =SUM(LL29:LL37) =SUM(LM29:LM37) =SUM(LN29:LN37) =SUM(LO29:LO37) =SUM(LP29:LP37) =SUM(LQ29:LQ37)     =SUM(LT29:LT37) =SUM(LU29:LU37) =SUM(LV29:LV37) =SUM(LW29:LW37) =SUM(LX29:LX37) =SUM(LY29:LY37) =SUM(LZ29:LZ37) =SUM(MA29:MA37) =SUM(MB29:MB37) =SUM(MC29:MC37) =SUM(MD29:MD37) =SUM(ME29:ME37) =SUM(MF29:MF37) =SUM(MG29:MG37) =SUM(MH29:MH37) =SUM(MI29:MI37) =SUM(MJ29:MJ37) =SUM(MK29:MK37) =SUM(ML29:ML37) =SUM(MM29:MM37) =SUM(MN29:MN37) =SUM(MO29:MO37) =SUM(MP29:MP37) =SUM(MQ29:MQ37) =SUM(MR29:MR37) =SUM(MS29:MS37) =SUM(MT29:MT37) =SUM(MU29:MU37) =SUM(MV29:MV37) =SUM(MW29:MW37) =SUM(MX29:MX37) =SUM(MY29:MY37) =SUM(MZ29:MZ37) =SUM(NA29:NA37) =SUM(NB29:NB37) =SUM(NC29:NC37) =SUM(ND29:ND37) =SUM(NE29:NE37) =SUM(NF29:NF37) =SUM(NG29:NG37) =SUM(NH29:NH37) =SUM(NI29:NI37) =SUM(NJ29:NJ37) =SUM(NK29:NK37) =SUM(NL29:NL37) =SUM(NM29:NM37) =SUM(NN29:NN37) =SUM(NO29:NO37) =SUM(NP29:NP37) =SUM(NQ29:NQ37) =SUM(NR29:NR37) =SUM(NS29:NS37) =SUM(NT29:NT37) =SUM(NU29:NU37) =SUM(NV29:NV37) =SUM(NW29:NW37) =SUM(NX29:NX37) =SUM(NY29:NY37) =SUM(NZ29:NZ37) =SUM(OA29:OA37) =SUM(OB29:OB37) =SUM(OC29:OC37) =SUM(OD29:OD37) =SUM(OE29:OE37) =SUM(OF29:OF37) =SUM(OG29:OG37) =SUM(OH29:OH37) =SUM(OI29:OI37) =SUM(OJ29:OJ37) =SUM(OK29:OK37) =SUM(OL29:OL37) =SUM(OM29:OM37) =SUM(ON29:ON37) =SUM(OO29:OO37) =SUM(OP29:OP37) =SUM(OQ29:OQ37) =SUM(OR29:OR37) =SUM(OS29:OS37) =SUM(OT29:OT37) =SUM(OU29:OU37) =SUM(OV29:OV37) =SUM(OW29:OW37) =SUM(OX29:OX37) =SUM(OY29:OY37) =SUM(OZ29:OZ37) =SUM(PA29:PA37) =SUM(PB29:PB37) =SUM(PC29:PC37) =SUM(PD29:PD37) =SUM(PE29:PE37) =SUM(PF29:PF37) =SUM(PG29:PG37) =SUM(PH29:PH37) =SUM(PI29:PI37) =SUM(PJ29:PJ37) =SUM(PK29:PK37) =SUM(PL29:PL37) =SUM(PM29:PM37) =SUM(PN29:PN37) =SUM(PO29:PO37) =SUM(PP29:PP37) =SUM(PQ29:PQ37) =SUM(PR29:PR37) =SUM(PS29:PS37) =SUM(PT29:PT37) =SUM(PU29:PU37) =SUM(PV29:PV37) =SUM(PW29:PW37) =SUM(PX29:PX37) =SUM(PY29:PY37) =SUM(PZ29:PZ37) =SUM(QA29:QA37) =SUM(QB29:QB37) =SUM(QC29:QC37) =SUM(QD29:QD37) =SUM(QE29:QE37) =SUM(QF29:QF37) =SUM(QG29:QG37) =SUM(QH29:QH37) =SUM(QI29:QI37) =SUM(QJ29:QJ37) =SUM(QK29:QK37) =SUM(QL29:QL37) =SUM(QM29:QM37) =SUM(QN29:QN37) =SUM(QO29:QO37) =SUM(QP29:QP37) =SUM(QQ29:QQ37) =SUM(QR29:QR37) =SUM(QS29:QS37) =SUM(QT29:QT37) =SUM(QU29:QU37) =SUM(QV29:QV37) =SUM(QW29:QW37) =SUM(QX29:QX37) =SUM(QY29:QY37) =SUM(QZ29:QZ37) =SUM(RA29:RA37) =SUM(RB29:RB37) =SUM(RC29:RC37) =SUM(RD29:RD37) =SUM(RE29:RE37) =SUM(RF29:RF37) =SUM(RG29:RG37) =SUM(RH29:RH37) =SUM(RI29:RI37) =SUM(RJ29:RJ37) =SUM(RK29:RK37) =SUM(RL29:RL37) =SUM(RM29:RM37) =SUM(RN29:RN37)       </t>
    </r>
  </si>
  <si>
    <r>
      <t> </t>
    </r>
    <r>
      <rPr>
        <sz val="8"/>
        <color theme="1"/>
        <rFont val="Arial"/>
        <family val="2"/>
      </rPr>
      <t xml:space="preserve">                          99594.7           29704.9                       14598.8                                                         13899.3   6795.2                                         4171.7                           2754.1   16420.2                         =14249.2+12775.1                                                                     46436.5                                                                                             11024.9       6498.4 18052.8 4862.3                 5766.2                         58348.2                   1246617         34771.2                 132531                                   7806.5   13427.1                           =45308               11139.4                 9165.9                                                     =6172.8+2618.4                           =11600+13610     2598.3         2238.5         2051     2422.3         115535.2   3859.3                   1687.5                         29982     31167.2         21223.3   96.9         9065.5                       3709.8             25600.5       </t>
    </r>
  </si>
  <si>
    <r>
      <t> </t>
    </r>
    <r>
      <rPr>
        <sz val="8"/>
        <color theme="1"/>
        <rFont val="Arial"/>
        <family val="2"/>
      </rPr>
      <t xml:space="preserve">                    =7776+57       =127656+1335     16 =66919.2+3837       =10368+506         =7920+571   8       =62272.8+699.3       =5193.6+32 =16740+935     =648+15                       =117245.6+4300.6     =8640+275   =2592+26.6       =15984+231 =24408+289                       =703857.6+27793.8     =3024+47         =7776+85 =10368+2                                                           =56764.8+1200.8           =42861.6+1165.4   =36864+1145           =864+55                                         =35877.6+593       =12744+410                   =6480+177.6               =5400+125                                 =900482.4+23880       =29834.2+255             =2160+416           =6480+108   =20736+1382 =1296+25 =14040+158                   =10198+385     =26618.4+310                   =626616+13669.2                           =420704+3786                                   =8640+209           =4284+145         =3888+211.6             =432+25       =50601.6+1160         =43718.4+1054                             =2160+472                                         =435+220.8   =3888+424     =691.2+685       =5832+89   =1512+67 =2592+25                         =135777.6+1882                                             =169171.2+2886.4             =7776+65   64     =52747.2+1150       150 =9892.8+416   =9892.8+223     =2160+223                           =10368+709                     </t>
    </r>
  </si>
  <si>
    <r>
      <t> </t>
    </r>
    <r>
      <rPr>
        <sz val="8"/>
        <color theme="1"/>
        <rFont val="Arial"/>
        <family val="2"/>
      </rPr>
      <t xml:space="preserve">                                    39481.5                                                                   97715.3 91887.6 195817.5 136653.5                                                                                                                                                                                                                                                                                                                                                                                                                                         165637                                                                                                                                                                                                                                                                                                                   </t>
    </r>
  </si>
  <si>
    <r>
      <t> </t>
    </r>
    <r>
      <rPr>
        <sz val="8"/>
        <color theme="1"/>
        <rFont val="Arial"/>
        <family val="2"/>
      </rPr>
      <t xml:space="preserve">                                    55206.4                                                                   81898.4 41580.5 92556.3 45541.7                                                                                                                                                                                                                                                                                                                                                                                                                                         56099                                                                                                                                                                                                                                                                                                                   </t>
    </r>
  </si>
  <si>
    <r>
      <t> </t>
    </r>
    <r>
      <rPr>
        <sz val="8"/>
        <color theme="1"/>
        <rFont val="Arial"/>
        <family val="2"/>
      </rPr>
      <t xml:space="preserve">                                    6580.3                                                                   39086.1 39380.4 104240 48079.5                                                                                                                                                                                                                                                                                                                                                                                                                                         276062                                                                                                                                                                                                                                                                                                                   </t>
    </r>
  </si>
  <si>
    <r>
      <t>=SUM(BK39:BK42)</t>
    </r>
    <r>
      <rPr>
        <sz val="8"/>
        <color theme="1"/>
        <rFont val="Arial"/>
        <family val="2"/>
      </rPr>
      <t xml:space="preserve">=SUM(BL39:BL42) =SUM(BM39:BM42) =SUM(BN39:BN42) =SUM(BO39:BO42) =SUM(BP39:BP42) =SUM(BQ39:BQ42) =SUM(BR39:BR42) =SUM(BS39:BS42) =SUM(BT39:BT42) =SUM(BU39:BU42) =SUM(BV39:BV42) =SUM(BW39:BW42) =SUM(BX39:BX42) =SUM(BY39:BY42) =SUM(BZ39:BZ42) =SUM(CA39:CA42) =SUM(CB39:CB42) =SUM(CC39:CC42) =SUM(CD39:CD42) =SUM(CE39:CE42) =SUM(CF39:CF42) =SUM(CG39:CG42) =SUM(CH39:CH42) =SUM(CI39:CI42) =SUM(CJ39:CJ42) =SUM(CK39:CK42) =SUM(CL39:CL42) =SUM(CM39:CM42) =SUM(CN39:CN42) =SUM(CO39:CO42) =SUM(CP39:CP42) =SUM(CQ39:CQ42) =SUM(CR39:CR42) =SUM(CS39:CS42) =SUM(CT39:CT42) =SUM(CU39:CU42) =SUM(CV39:CV42) =SUM(CW39:CW42) =SUM(CX39:CX42) =SUM(CY39:CY42) =SUM(CZ39:CZ42) =SUM(DA39:DA42) =SUM(DB39:DB42) =SUM(DC39:DC42) =SUM(DD39:DD42) =SUM(DE39:DE42) =SUM(DF39:DF42) =SUM(DG39:DG42) =SUM(DH39:DH42) =SUM(DI39:DI42) =SUM(DJ39:DJ42) =SUM(DK39:DK42) =SUM(DL39:DL42) =SUM(DM39:DM42) =SUM(DN39:DN42) =SUM(DO39:DO42) =SUM(DP39:DP42) =SUM(DQ39:DQ42) =SUM(DR39:DR42) =SUM(DS39:DS42) =SUM(DT39:DT42) =SUM(DU39:DU42) =SUM(DV39:DV42) =SUM(DW39:DW42) =SUM(DX39:DX42) =SUM(DY39:DY42)     =SUM(EB39:EB42) =SUM(EC39:EC42) =SUM(ED39:ED42) =SUM(EE39:EE42) =SUM(EF39:EF42) =SUM(EG39:EG42) =SUM(EH39:EH42) =SUM(EI39:EI42) =SUM(EJ39:EJ42) =SUM(EK39:EK42) =SUM(EL39:EL42) =SUM(EM39:EM42) =SUM(EN39:EN42) =SUM(EO39:EO42) =SUM(EP39:EP42) =SUM(EQ39:EQ42) =SUM(ER39:ER42) =SUM(ES39:ES42) =SUM(ET39:ET42) =SUM(EU39:EU42) =SUM(EV39:EV42) =SUM(EW39:EW42) =SUM(EX39:EX42) =SUM(EY39:EY42) =SUM(EZ39:EZ42) =SUM(FA39:FA42) =SUM(FB39:FB42) =SUM(FC39:FC42) =SUM(FD39:FD42) =SUM(FE39:FE42) =SUM(FF39:FF42) =SUM(FG39:FG42) =SUM(FH39:FH42) =SUM(FI39:FI42) =SUM(FJ39:FJ42) =SUM(FK39:FK42) =SUM(FL39:FL42) =SUM(FM39:FM42) =SUM(FN39:FN42) =SUM(FO39:FO42) =SUM(FP39:FP42) =SUM(FQ39:FQ42) =SUM(FR39:FR42) =SUM(FS39:FS42) =SUM(FT39:FT42) =SUM(FU39:FU42) =SUM(FV39:FV42) =SUM(FW39:FW42) =SUM(FX39:FX42) =SUM(FY39:FY42) =SUM(FZ39:FZ42) =SUM(GA39:GA42) =SUM(GB39:GB42) =SUM(GC39:GC42) =SUM(GD39:GD42) =SUM(GE39:GE42)     =SUM(GH39:GH42) =SUM(GI39:GI42) =SUM(GJ39:GJ42) =SUM(GK39:GK42) =SUM(GL39:GL42) =SUM(GM39:GM42) =SUM(GN39:GN42) =SUM(GO39:GO42) =SUM(GP39:GP42) =SUM(GQ39:GQ42) =SUM(GR39:GR42) =SUM(GS39:GS42) =SUM(GT39:GT42) =SUM(GU39:GU42) =SUM(GV39:GV42) =SUM(GW39:GW42) =SUM(GX39:GX42) =SUM(GY39:GY42) =SUM(GZ39:GZ42) =SUM(HA39:HA42) =SUM(HB39:HB42)   =SUM(HD39:HD42) =SUM(HE39:HE42) =SUM(HF39:HF42) =SUM(HG39:HG42) =SUM(HH39:HH42) =SUM(HI39:HI42) =SUM(HJ39:HJ42) =SUM(HK39:HK42) =SUM(HL39:HL42) =SUM(HM39:HM42) =SUM(HN39:HN42)   =SUM(HP39:HP42) =SUM(HQ39:HQ42) =SUM(HR39:HR42) =SUM(HS39:HS42) =SUM(HT39:HT42) =SUM(HU39:HU42) =SUM(HV39:HV42) =SUM(HW39:HW42) =SUM(HX39:HX42) =SUM(HY39:HY42) =SUM(HZ39:HZ42) =SUM(IA39:IA42) =SUM(IB39:IB42) =SUM(IC39:IC42) =SUM(ID39:ID42) =SUM(IE39:IE42) =SUM(IF39:IF42) =SUM(IG39:IG42) =SUM(IH39:IH42) =SUM(II39:II42) =SUM(IJ39:IJ42) =SUM(IK39:IK42) =SUM(IL39:IL42) =SUM(IM39:IM42) =SUM(IN39:IN42) =SUM(IO39:IO42) =SUM(IP39:IP42) =SUM(IQ39:IQ42) =SUM(IR39:IR42) =SUM(IS39:IS42) =SUM(IT39:IT42) =SUM(IU39:IU42) =SUM(IV39:IV42) =SUM(IW39:IW42) =SUM(IX39:IX42) =SUM(IY39:IY42) =SUM(IZ39:IZ42) =SUM(JA39:JA42) =SUM(JB39:JB42) =SUM(JC39:JC42) =SUM(JD39:JD42) =SUM(JE39:JE42) =SUM(JF39:JF42) =SUM(JG39:JG42) =SUM(JH39:JH42) =SUM(JI39:JI42) =SUM(JJ39:JJ42) =SUM(JK39:JK42) =SUM(JL39:JL42) =SUM(JM39:JM42) =SUM(JN39:JN42) =SUM(JO39:JO42) =SUM(JP39:JP42) =SUM(JQ39:JQ42) =SUM(JR39:JR42) =SUM(JS39:JS42) =SUM(JT39:JT42) =SUM(JU39:JU42) =SUM(JV39:JV42) =SUM(JW39:JW42) =SUM(JX39:JX42) =SUM(JY39:JY42) =SUM(JZ39:JZ42) =SUM(KA39:KA42) =SUM(KB39:KB42) =SUM(KC39:KC42) =SUM(KD39:KD42) =SUM(KE39:KE42)   =SUM(KG39:KG42) =SUM(KH39:KH42) =SUM(KI39:KI42) =SUM(KJ39:KJ42) =SUM(KK39:KK42) =SUM(KL39:KL42) =SUM(KM39:KM42) =SUM(KN39:KN42) =SUM(KO39:KO42) =SUM(KP39:KP42) =SUM(KQ39:KQ42) =SUM(KR39:KR42) =SUM(KS39:KS42) =SUM(KT39:KT42) =SUM(KU39:KU42) =SUM(KV39:KV42) =SUM(KW39:KW42) =SUM(KX39:KX42) =SUM(KY39:KY42) =SUM(KZ39:KZ42) =SUM(LA39:LA42) =SUM(LB39:LB42) =SUM(LC39:LC42) =SUM(LD39:LD42) =SUM(LE39:LE42)   =SUM(LG39:LG42) =SUM(LH39:LH42) =SUM(LI39:LI42) =SUM(LJ39:LJ42) =SUM(LK39:LK42) =SUM(LL39:LL42) =SUM(LM39:LM42) =SUM(LN39:LN42) =SUM(LO39:LO42) =SUM(LP39:LP42) =SUM(LQ39:LQ42)     =SUM(LT39:LT42) =SUM(LU39:LU42) =SUM(LV39:LV42) =SUM(LW39:LW42) =SUM(LX39:LX42) =SUM(LY39:LY42) =SUM(LZ39:LZ42) =SUM(MA39:MA42) =SUM(MB39:MB42) =SUM(MC39:MC42) =SUM(MD39:MD42) =SUM(ME39:ME42) =SUM(MF39:MF42) =SUM(MG39:MG42) =SUM(MH39:MH42) =SUM(MI39:MI42) =SUM(MJ39:MJ42) =SUM(MK39:MK42) =SUM(ML39:ML42) =SUM(MM39:MM42) =SUM(MN39:MN42) =SUM(MO39:MO42) =SUM(MP39:MP42) =SUM(MQ39:MQ42) =SUM(MR39:MR42) =SUM(MS39:MS42) =SUM(MT39:MT42) =SUM(MU39:MU42) =SUM(MV39:MV42) =SUM(MW39:MW42) =SUM(MX39:MX42) =SUM(MY39:MY42) =SUM(MZ39:MZ42) =SUM(NA39:NA42) =SUM(NB39:NB42) =SUM(NC39:NC42) =SUM(ND39:ND42) =SUM(NE39:NE42) =SUM(NF39:NF42) =SUM(NG39:NG42) =SUM(NH39:NH42) =SUM(NI39:NI42) =SUM(NJ39:NJ42) =SUM(NK39:NK42) =SUM(NL39:NL42) =SUM(NM39:NM42) =SUM(NN39:NN42) =SUM(NO39:NO42) =SUM(NP39:NP42) =SUM(NQ39:NQ42) =SUM(NR39:NR42) =SUM(NS39:NS42) =SUM(NT39:NT42) =SUM(NU39:NU42) =SUM(NV39:NV42) =SUM(NW39:NW42) =SUM(NX39:NX42) =SUM(NY39:NY42) =SUM(NZ39:NZ42) =SUM(OA39:OA42) =SUM(OB39:OB42) =SUM(OC39:OC42) =SUM(OD39:OD42) =SUM(OE39:OE42) =SUM(OF39:OF42) =SUM(OG39:OG42) =SUM(OH39:OH42) =SUM(OI39:OI42) =SUM(OJ39:OJ42) =SUM(OK39:OK42) =SUM(OL39:OL42) =SUM(OM39:OM42) =SUM(ON39:ON42) =SUM(OO39:OO42) =SUM(OP39:OP42) =SUM(OQ39:OQ42) =SUM(OR39:OR42) =SUM(OS39:OS42) =SUM(OT39:OT42) =SUM(OU39:OU42) =SUM(OV39:OV42) =SUM(OW39:OW42) =SUM(OX39:OX42) =SUM(OY39:OY42) =SUM(OZ39:OZ42) =SUM(PA39:PA42) =SUM(PB39:PB42) =SUM(PC39:PC42) =SUM(PD39:PD42) =SUM(PE39:PE42) =SUM(PF39:PF42) =SUM(PG39:PG42) =SUM(PH39:PH42) =SUM(PI39:PI42) =SUM(PJ39:PJ42) =SUM(PK39:PK42) =SUM(PL39:PL42) =SUM(PM39:PM42) =SUM(PN39:PN42) =SUM(PO39:PO42) =SUM(PP39:PP42) =SUM(PQ39:PQ42) =SUM(PR39:PR42) =SUM(PS39:PS42) =SUM(PT39:PT42) =SUM(PU39:PU42) =SUM(PV39:PV42) =SUM(PW39:PW42) =SUM(PX39:PX42) =SUM(PY39:PY42) =SUM(PZ39:PZ42) =SUM(QA39:QA42) =SUM(QB39:QB42) =SUM(QC39:QC42) =SUM(QD39:QD42) =SUM(QE39:QE42) =SUM(QF39:QF42) =SUM(QG39:QG42) =SUM(QH39:QH42) =SUM(QI39:QI42) =SUM(QJ39:QJ42) =SUM(QK39:QK42) =SUM(QL39:QL42) =SUM(QM39:QM42) =SUM(QN39:QN42) =SUM(QO39:QO42) =SUM(QP39:QP42) =SUM(QQ39:QQ42) =SUM(QR39:QR42) =SUM(QS39:QS42) =SUM(QT39:QT42) =SUM(QU39:QU42) =SUM(QV39:QV42) =SUM(QW39:QW42) =SUM(QX39:QX42) =SUM(QY39:QY42) =SUM(QZ39:QZ42) =SUM(RA39:RA42) =SUM(RB39:RB42) =SUM(RC39:RC42) =SUM(RD39:RD42) =SUM(RE39:RE42) =SUM(RF39:RF42) =SUM(RG39:RG42) =SUM(RH39:RH42) =SUM(RI39:RI42) =SUM(RJ39:RJ42) =SUM(RK39:RK42) =SUM(RL39:RL42) =SUM(RM39:RM42) =SUM(RN39:RN42)       </t>
    </r>
  </si>
  <si>
    <r>
      <t> </t>
    </r>
    <r>
      <rPr>
        <sz val="8"/>
        <color theme="1"/>
        <rFont val="Arial"/>
        <family val="2"/>
      </rPr>
      <t xml:space="preserve">        18.8   =59.4+22.4 1198.1                   21 =337.4+210.6       =42+6088.1     3111.3   45.6 21 14 757.2                                                                                 79.6             14           14                           514.8             =7260.7+7     22.2       14   7             63                                               28               49.2                                   250.2                 16.4 35             1320350.3     14     64.4         2698.9                                             =3344.3+60642.4                 391.6             14   91 7         10961.2   7                                                           788.8                                                                 15.2 7                                             94.6     4929.7 38.6 9.4         =33+71.4             51463.5             658 18.8                         7   2046 8.2     38.6 7 61   36.4       477.2                                                                     </t>
    </r>
  </si>
  <si>
    <r>
      <t> </t>
    </r>
    <r>
      <rPr>
        <sz val="8"/>
        <color theme="1"/>
        <rFont val="Arial"/>
        <family val="2"/>
      </rPr>
      <t xml:space="preserve">                                                503.7                             362.7               3625.5                                                                                                                                                                                                                                                                                                 17485.4                                                                                                             273.4                                                                                                                                                                                                                                                                             10871.6                                                                               </t>
    </r>
  </si>
  <si>
    <r>
      <t>=+BK44</t>
    </r>
    <r>
      <rPr>
        <sz val="8"/>
        <color theme="1"/>
        <rFont val="Arial"/>
        <family val="2"/>
      </rPr>
      <t xml:space="preserve">=+BL44 =+BM44 =+BN44 =+BO44 =+BP44 =+BQ44 =+BR44 =+BS44 =+BT44 =+BU44 =+BV44 =+BW44 =+BX44 =+BY44 =+BZ44 =+CA44 =+CB44 =+CC44 =+CD44 =+CE44 =+CF44 =+CG44 =+CH44 =+CI44 =+CJ44 =+CK44 =+CL44 =+CM44 =+CN44 =+CO44 =+CP44 =+CQ44 =+CR44 =+CS44 =+CT44 =+CU44 =+CV44 =+CW44 =+CX44 =+CY44 =+CZ44 =+DA44 =+DB44 =+DC44 =+DD44 =+DE44 =+DF44 =+DG44 =+DH44 =+DI44 =+DJ44 =+DK44 =+DL44 =+DM44 =+DN44 =+DO44 =+DP44 =+DQ44 =+DR44 =+DS44 =+DT44 =+DU44 =+DV44 =+DW44 =+DX44 =+DY44     =+EB44 =+EC44 =+ED44 =+EE44 =+EF44 =+EG44 =+EH44 =+EI44 =+EJ44 =+EK44 =+EL44 =+EM44 =+EN44 =+EO44 =+EP44 =+EQ44 =+ER44 =+ES44 =+ET44 =+EU44 =+EV44 =+EW44 =+EX44 =+EY44 =+EZ44 =+FA44 =+FB44 =+FC44 =+FD44 =+FE44 =+FF44 =+FG44 =+FH44 =+FI44 =+FJ44 =+FK44 =+FL44 =+FM44 =+FN44 =+FO44 =+FP44 =+FQ44 =+FR44 =+FS44 =+FT44 =+FU44 =+FV44 =+FW44 =+FX44 =+FY44 =+FZ44 =+GA44 =+GB44 =+GC44 =+GD44 =+GE44     =+GH44 =+GI44 =+GJ44 =+GK44 =+GL44 =+GM44 =+GN44 =+GO44 =+GP44 =+GQ44 =+GR44 =+GS44 =+GT44 =+GU44 =+GV44 =+GW44 =+GX44 =+GY44 =+GZ44 =+HA44 =+HB44   =+HD44 =+HE44 =+HF44 =+HG44 =+HH44 =+HI44 =+HJ44 =+HK44 =+HL44 =+HM44 =+HN44   =+HP44 =+HQ44 =+HR44 =+HS44 =+HT44 =+HU44 =+HV44 =+HW44 =+HX44 =+HY44 =+HZ44 =+IA44 =+IB44 =+IC44 =+ID44 =+IE44 =+IF44 =+IG44 =+IH44 =+II44 =+IJ44 =+IK44 =+IL44 =+IM44 =+IN44 =+IO44 =+IP44 =+IQ44 =+IR44 =+IS44 =+IT44 =+IU44 =+IV44 =+IW44 =+IX44 =+IY44 =+IZ44 =+JA44 =+JB44 =+JC44 =+JD44 =+JE44 =+JF44 =+JG44 =+JH44 =+JI44 =+JJ44 =+JK44 =+JL44 =+JM44 =+JN44 =+JO44 =+JP44 =+JQ44 =+JR44 =+JS44 =+JT44 =+JU44 =+JV44 =+JW44 =+JX44 =+JY44 =+JZ44 =+KA44 =+KB44 =+KC44 =+KD44 =+KE44   =+KG44 =+KH44 =+KI44 =+KJ44 =+KK44 =+KL44 =+KM44 =+KN44 =+KO44 =+KP44 =+KQ44 =+KR44 =+KS44 =+KT44 =+KU44 =+KV44 =+KW44 =+KX44 =+KY44 =+KZ44 =+LA44 =+LB44 =+LC44 =+LD44 =+LE44   =+LG44 =+LH44 =+LI44 =+LJ44 =+LK44 =+LL44 =+LM44 =+LN44 =+LO44 =+LP44 =+LQ44     =+LT44 =+LU44 =+LV44 =+LW44 =+LX44 =+LY44 =+LZ44 =+MA44 =+MB44 =+MC44 =+MD44 =+ME44 =+MF44 =+MG44 =+MH44 =+MI44 =+MJ44 =+MK44 =+ML44 =+MM44 =+MN44 =+MO44 =+MP44 =+MQ44 =+MR44 =+MS44 =+MT44 =+MU44 =+MV44 =+MW44 =+MX44 =+MY44 =+MZ44 =+NA44 =+NB44 =+NC44 =+ND44 =+NE44 =+NF44 =+NG44 =+NH44 =+NI44 =+NJ44 =+NK44 =+NL44 =+NM44 =+NN44 =+NO44 =+NP44 =+NQ44 =+NR44 =+NS44 =+NT44 =+NU44 =+NV44 =+NW44 =+NX44 =+NY44 =+NZ44 =+OA44 =+OB44 =+OC44 =+OD44 =+OE44 =+OF44 =+OG44 =+OH44 =+OI44 =+OJ44 =+OK44 =+OL44 =+OM44 =+ON44 =+OO44 =+OP44 =+OQ44 =+OR44 =+OS44 =+OT44 =+OU44 =+OV44 =+OW44 =+OX44 =+OY44 =+OZ44 =+PA44 =+PB44 =+PC44 =+PD44 =+PE44 =+PF44 =+PG44 =+PH44 =+PI44 =+PJ44 =+PK44 =+PL44 =+PM44 =+PN44 =+PO44 =+PP44 =+PQ44 =+PR44 =+PS44 =+PT44 =+PU44 =+PV44 =+PW44 =+PX44 =+PY44 =+PZ44 =+QA44 =+QB44 =+QC44 =+QD44 =+QE44 =+QF44 =+QG44 =+QH44 =+QI44 =+QJ44 =+QK44 =+QL44 =+QM44 =+QN44 =+QO44 =+QP44 =+QQ44 =+QR44 =+QS44 =+QT44 =+QU44 =+QV44 =+QW44 =+QX44 =+QY44 =+QZ44 =+RA44 =+RB44 =+RC44 =+RD44 =+RE44 =+RF44 =+RG44 =+RH44 =+RI44 =+RJ44 =+RK44 =+RL44 =+RM44 =+RN44       </t>
    </r>
  </si>
  <si>
    <r>
      <t>=SUM(BK46:BK47)</t>
    </r>
    <r>
      <rPr>
        <sz val="8"/>
        <color theme="1"/>
        <rFont val="Arial"/>
        <family val="2"/>
      </rPr>
      <t xml:space="preserve">=SUM(BL46:BL47) =SUM(BM46:BM47) =SUM(BN46:BN47) =SUM(BO46:BO47) =SUM(BP46:BP47) =SUM(BQ46:BQ47) =SUM(BR46:BR47) =SUM(BS46:BS47) =SUM(BT46:BT47) =SUM(BU46:BU47) =SUM(BV46:BV47) =SUM(BW46:BW47) =SUM(BX46:BX47) =SUM(BY46:BY47) =SUM(BZ46:BZ47) =SUM(CA46:CA47) =SUM(CB46:CB47) =SUM(CC46:CC47) =SUM(CD46:CD47) =SUM(CE46:CE47) =SUM(CF46:CF47) =SUM(CG46:CG47) =SUM(CH46:CH47) =SUM(CI46:CI47) =SUM(CJ46:CJ47) =SUM(CK46:CK47) =SUM(CL46:CL47) =SUM(CM46:CM47) =SUM(CN46:CN47) =SUM(CO46:CO47) =SUM(CP46:CP47) =SUM(CQ46:CQ47) =SUM(CR46:CR47) =SUM(CS46:CS47) =SUM(CT46:CT47) =SUM(CU46:CU47) =SUM(CV46:CV47) =SUM(CW46:CW47) =SUM(CX46:CX47) =SUM(CY46:CY47) =SUM(CZ46:CZ47) =SUM(DA46:DA47) =SUM(DB46:DB47) =SUM(DC46:DC47) =SUM(DD46:DD47) =SUM(DE46:DE47) =SUM(DF46:DF47) =SUM(DG46:DG47) =SUM(DH46:DH47) =SUM(DI46:DI47) =SUM(DJ46:DJ47) =SUM(DK46:DK47) =SUM(DL46:DL47) =SUM(DM46:DM47) =SUM(DN46:DN47) =SUM(DO46:DO47) =SUM(DP46:DP47) =SUM(DQ46:DQ47) =SUM(DR46:DR47) =SUM(DS46:DS47) =SUM(DT46:DT47) =SUM(DU46:DU47) =SUM(DV46:DV47) =SUM(DW46:DW47) =SUM(DX46:DX47) =SUM(DY46:DY47)     =SUM(EB46:EB47) =SUM(EC46:EC47) =SUM(ED46:ED47) =SUM(EE46:EE47) =SUM(EF46:EF47) =SUM(EG46:EG47) =SUM(EH46:EH47) =SUM(EI46:EI47) =SUM(EJ46:EJ47) =SUM(EK46:EK47) =SUM(EL46:EL47) =SUM(EM46:EM47) =SUM(EN46:EN47) =SUM(EO46:EO47) =SUM(EP46:EP47) =SUM(EQ46:EQ47) =SUM(ER46:ER47) =SUM(ES46:ES47) =SUM(ET46:ET47) =SUM(EU46:EU47) =SUM(EV46:EV47) =SUM(EW46:EW47) =SUM(EX46:EX47) =SUM(EY46:EY47) =SUM(EZ46:EZ47) =SUM(FA46:FA47) =SUM(FB46:FB47) =SUM(FC46:FC47) =SUM(FD46:FD47) =SUM(FE46:FE47) =SUM(FF46:FF47) =SUM(FG46:FG47) =SUM(FH46:FH47) =SUM(FI46:FI47) =SUM(FJ46:FJ47) =SUM(FK46:FK47) =SUM(FL46:FL47) =SUM(FM46:FM47) =SUM(FN46:FN47) =SUM(FO46:FO47) =SUM(FP46:FP47) =SUM(FQ46:FQ47) =SUM(FR46:FR47) =SUM(FS46:FS47) =SUM(FT46:FT47) =SUM(FU46:FU47) =SUM(FV46:FV47) =SUM(FW46:FW47) =SUM(FX46:FX47) =SUM(FY46:FY47) =SUM(FZ46:FZ47) =SUM(GA46:GA47) =SUM(GB46:GB47) =SUM(GC46:GC47) =SUM(GD46:GD47) =SUM(GE46:GE47)     =SUM(GH46:GH47) =SUM(GI46:GI47) =SUM(GJ46:GJ47) =SUM(GK46:GK47) =SUM(GL46:GL47) =SUM(GM46:GM47) =SUM(GN46:GN47) =SUM(GO46:GO47) =SUM(GP46:GP47) =SUM(GQ46:GQ47) =SUM(GR46:GR47) =SUM(GS46:GS47) =SUM(GT46:GT47) =SUM(GU46:GU47) =SUM(GV46:GV47) =SUM(GW46:GW47) =SUM(GX46:GX47) =SUM(GY46:GY47) =SUM(GZ46:GZ47) =SUM(HA46:HA47) =SUM(HB46:HB47)   =SUM(HD46:HD47) =SUM(HE46:HE47) =SUM(HF46:HF47) =SUM(HG46:HG47) =SUM(HH46:HH47) =SUM(HI46:HI47) =SUM(HJ46:HJ47) =SUM(HK46:HK47) =SUM(HL46:HL47) =SUM(HM46:HM47) =SUM(HN46:HN47)   =SUM(HP46:HP47) =SUM(HQ46:HQ47) =SUM(HR46:HR47) =SUM(HS46:HS47) =SUM(HT46:HT47) =SUM(HU46:HU47) =SUM(HV46:HV47) =SUM(HW46:HW47) =SUM(HX46:HX47) =SUM(HY46:HY47) =SUM(HZ46:HZ47) =SUM(IA46:IA47) =SUM(IB46:IB47) =SUM(IC46:IC47) =SUM(ID46:ID47) =SUM(IE46:IE47) =SUM(IF46:IF47) =SUM(IG46:IG47) =SUM(IH46:IH47) =SUM(II46:II47) =SUM(IJ46:IJ47) =SUM(IK46:IK47) =SUM(IL46:IL47) =SUM(IM46:IM47) =SUM(IN46:IN47) =SUM(IO46:IO47) =SUM(IP46:IP47) =SUM(IQ46:IQ47) =SUM(IR46:IR47) =SUM(IS46:IS47) =SUM(IT46:IT47) =SUM(IU46:IU47) =SUM(IV46:IV47) =SUM(IW46:IW47) =SUM(IX46:IX47) =SUM(IY46:IY47) =SUM(IZ46:IZ47) =SUM(JA46:JA47) =SUM(JB46:JB47) =SUM(JC46:JC47) =SUM(JD46:JD47) =SUM(JE46:JE47) =SUM(JF46:JF47) =SUM(JG46:JG47) =SUM(JH46:JH47) =SUM(JI46:JI47) =SUM(JJ46:JJ47) =SUM(JK46:JK47) =SUM(JL46:JL47) =SUM(JM46:JM47) =SUM(JN46:JN47) =SUM(JO46:JO47) =SUM(JP46:JP47) =SUM(JQ46:JQ47) =SUM(JR46:JR47) =SUM(JS46:JS47) =SUM(JT46:JT47) =SUM(JU46:JU47) =SUM(JV46:JV47) =SUM(JW46:JW47) =SUM(JX46:JX47) =SUM(JY46:JY47) =SUM(JZ46:JZ47) =SUM(KA46:KA47) =SUM(KB46:KB47) =SUM(KC46:KC47) =SUM(KD46:KD47) =+KE46   =SUM(KG46:KG47) =SUM(KH46:KH47) =SUM(KI46:KI47) =SUM(KJ46:KJ47) =SUM(KK46:KK47) =SUM(KL46:KL47) =SUM(KM46:KM47) =SUM(KN46:KN47) =SUM(KO46:KO47) =SUM(KP46:KP47) =SUM(KQ46:KQ47) =SUM(KR46:KR47) =SUM(KS46:KS47) =SUM(KT46:KT47) =SUM(KU46:KU47) =SUM(KV46:KV47) =SUM(KW46:KW47) =SUM(KX46:KX47) =SUM(KY46:KY47) =SUM(KZ46:KZ47) =SUM(LA46:LA47) =SUM(LB46:LB47) =SUM(LC46:LC47) =SUM(LD46:LD47) =SUM(LE46:LE47)   =SUM(LG46:LG47) =SUM(LH46:LH47) =SUM(LI46:LI47) =SUM(LJ46:LJ47) =SUM(LK46:LK47) =SUM(LL46:LL47) =SUM(LM46:LM47) =SUM(LN46:LN47) =SUM(LO46:LO47) =SUM(LP46:LP47) =SUM(LQ46:LQ47)     =SUM(LT46:LT47) =SUM(LU46:LU47) =SUM(LV46:LV47) =SUM(LW46:LW47) =SUM(LX46:LX47) =SUM(LY46:LY47) =SUM(LZ46:LZ47) =SUM(MA46:MA47) =SUM(MB46:MB47) =SUM(MC46:MC47) =SUM(MD46:MD47) =SUM(ME46:ME47) =SUM(MF46:MF47) =SUM(MG46:MG47) =SUM(MH46:MH47) =SUM(MI46:MI47) =SUM(MJ46:MJ47) =SUM(MK46:MK47) =SUM(ML46:ML47) =SUM(MM46:MM47) =SUM(MN46:MN47) =SUM(MO46:MO47) =SUM(MP46:MP47) =SUM(MQ46:MQ47) =SUM(MR46:MR47) =SUM(MS46:MS47) =SUM(MT46:MT47) =SUM(MU46:MU47) =SUM(MV46:MV47) =SUM(MW46:MW47) =SUM(MX46:MX47) =SUM(MY46:MY47) =SUM(MZ46:MZ47) =SUM(NA46:NA47) =SUM(NB46:NB47) =SUM(NC46:NC47) =SUM(ND46:ND47) =SUM(NE46:NE47) =SUM(NF46:NF47) =SUM(NG46:NG47) =SUM(NH46:NH47) =SUM(NI46:NI47) =SUM(NJ46:NJ47) =SUM(NK46:NK47) =SUM(NL46:NL47) =SUM(NM46:NM47) =SUM(NN46:NN47) =SUM(NO46:NO47) =SUM(NP46:NP47) =SUM(NQ46:NQ47) =SUM(NR46:NR47) =SUM(NS46:NS47) =SUM(NT46:NT47) =SUM(NU46:NU47) =SUM(NV46:NV47) =SUM(NW46:NW47) =SUM(NX46:NX47) =SUM(NY46:NY47) =SUM(NZ46:NZ47) =SUM(OA46:OA47) =SUM(OB46:OB47) =SUM(OC46:OC47) =SUM(OD46:OD47) =SUM(OE46:OE47) =SUM(OF46:OF47) =SUM(OG46:OG47) =SUM(OH46:OH47) =SUM(OI46:OI47) =SUM(OJ46:OJ47) =SUM(OK46:OK47) =SUM(OL46:OL47) =SUM(OM46:OM47) =SUM(ON46:ON47) =SUM(OO46:OO47) =SUM(OP46:OP47) =SUM(OQ46:OQ47) =SUM(OR46:OR47) =SUM(OS46:OS47) =SUM(OT46:OT47) =SUM(OU46:OU47) =SUM(OV46:OV47) =SUM(OW46:OW47) =SUM(OX46:OX47) =SUM(OY46:OY47) =SUM(OZ46:OZ47) =SUM(PA46:PA47) =SUM(PB46:PB47) =SUM(PC46:PC47) =SUM(PD46:PD47) =SUM(PE46:PE47) =SUM(PF46:PF47) =SUM(PG46:PG47) =SUM(PH46:PH47) =SUM(PI46:PI47) =SUM(PJ46:PJ47) =SUM(PK46:PK47) =SUM(PL46:PL47) =SUM(PM46:PM47) =SUM(PN46:PN47) =SUM(PO46:PO47) =SUM(PP46:PP47) =SUM(PQ46:PQ47) =SUM(PR46:PR47) =SUM(PS46:PS47) =SUM(PT46:PT47) =SUM(PU46:PU47) =SUM(PV46:PV47) =SUM(PW46:PW47) =SUM(PX46:PX47) =SUM(PY46:PY47) =SUM(PZ46:PZ47) =SUM(QA46:QA47) =SUM(QB46:QB47) =SUM(QC46:QC47) =SUM(QD46:QD47) =SUM(QE46:QE47) =SUM(QF46:QF47) =SUM(QG46:QG47) =SUM(QH46:QH47) =SUM(QI46:QI47) =SUM(QJ46:QJ47) =SUM(QK46:QK47) =SUM(QL46:QL47) =SUM(QM46:QM47) =SUM(QN46:QN47) =SUM(QO46:QO47) =SUM(QP46:QP47) =SUM(QQ46:QQ47) =SUM(QR46:QR47) =SUM(QS46:QS47) =SUM(QT46:QT47) =SUM(QU46:QU47) =SUM(QV46:QV47) =SUM(QW46:QW47) =SUM(QX46:QX47) =SUM(QY46:QY47) =SUM(QZ46:QZ47) =SUM(RA46:RA47) =SUM(RB46:RB47) =SUM(RC46:RC47) =SUM(RD46:RD47) =SUM(RE46:RE47) =SUM(RF46:RF47) =SUM(RG46:RG47) =SUM(RH46:RH47) =SUM(RI46:RI47) =SUM(RJ46:RJ47) =SUM(RK46:RK47) =SUM(RL46:RL47) =SUM(RM46:RM47) =SUM(RN46:RN47)       </t>
    </r>
  </si>
  <si>
    <r>
      <t>=+BK49</t>
    </r>
    <r>
      <rPr>
        <sz val="8"/>
        <color theme="1"/>
        <rFont val="Arial"/>
        <family val="2"/>
      </rPr>
      <t xml:space="preserve">=+BL49 =+BM49 =+BN49 =+BO49 =+BP49 =+BQ49 =+BR49 =+BS49 =+BT49 =+BU49 =+BV49 =+BW49 =+BX49 =+BY49 =+BZ49 =+CA49 =+CB49 =+CC49 =+CD49 =+CE49 =+CF49 =+CG49 =+CH49 =+CI49 =+CJ49 =+CK49 =+CL49 =+CM49 =+CN49 =+CO49 =+CP49 =+CQ49 =+CR49 =+CS49 =+CT49 =+CU49 =+CV49 =+CW49 =+CX49 =+CY49 =+CZ49 =+DA49 =+DB49 =+DC49 =+DD49 =+DE49 =+DF49 =+DG49 =+DH49 =+DI49 =+DJ49 =+DK49 =+DL49 =+DM49 =+DN49 =+DO49 =+DP49 =+DQ49 =+DR49 =+DS49 =+DT49 =+DU49 =+DV49 =+DW49 =+DX49 =+DY49     =+EB49 =+EC49 =+ED49 =+EE49 =+EF49 =+EG49 =+EH49 =+EI49 =+EJ49 =+EK49 =+EL49 =+EM49 =+EN49 =+EO49 =+EP49 =+EQ49 =+ER49 =+ES49 =+ET49 =+EU49 =+EV49 =+EW49 =+EX49 =+EY49 =+EZ49 =+FA49 =+FB49 =+FC49 =+FD49 =+FE49 =+FF49 =+FG49 =+FH49 =+FI49 =+FJ49 =+FK49 =+FL49 =+FM49 =+FN49 =+FO49 =+FP49 =+FQ49 =+FR49 =+FS49 =+FT49 =+FU49 =+FV49 =+FW49 =+FX49 =+FY49 =+FZ49 =+GA49 =+GB49 =+GC49 =+GD49 =+GE49     =+GH49 =+GI49 =+GJ49 =+GK49 =+GL49 =+GM49 =+GN49 =+GO49 =+GP49 =+GQ49 =+GR49 =+GS49 =+GT49 =+GU49 =+GV49 =+GW49 =+GX49 =+GY49 =+GZ49 =+HA49 =+HB49   =+HD49 =+HE49 =+HF49 =+HG49 =+HH49 =+HI49 =+HJ49 =+HK49 =+HL49 =+HM49 =+HN49   =+HP49 =+HQ49 =+HR49 =+HS49 =+HT49 =+HU49 =+HV49 =+HW49 =+HX49 =+HY49 =+HZ49 =+IA49 =+IB49 =+IC49 =+ID49 =+IE49 =+IF49 =+IG49 =+IH49 =+II49 =+IJ49 =+IK49 =+IL49 =+IM49 =+IN49 =+IO49 =+IP49 =+IQ49 =+IR49 =+IS49 =+IT49 =+IU49 =+IV49 =+IW49 =+IX49 =+IY49 =+IZ49 =+JA49 =+JB49 =+JC49 =+JD49 =+JE49 =+JF49 =+JG49 =+JH49 =+JI49 =+JJ49 =+JK49 =+JL49 =+JM49 =+JN49 =+JO49 =+JP49 =+JQ49 =+JR49 =+JS49 =+JT49 =+JU49 =+JV49 =+JW49 =+JX49 =+JY49 =+JZ49 =+KA49 =+KB49 =+KC49 =+KD49 =+KE49   =+KG49 =+KH49 =+KI49 =+KJ49 =+KK49 =+KL49 =+KM49 =+KN49 =+KO49 =+KP49 =+KQ49 =+KR49 =+KS49 =+KT49 =+KU49 =+KV49 =+KW49 =+KX49 =+KY49 =+KZ49 =+LA49 =+LB49 =+LC49 =+LD49 =+LE49   =+LG49 =+LH49 =+LI49 =+LJ49 =+LK49 =+LL49 =+LM49 =+LN49 =+LO49 =+LP49 =+LQ49     =+LT49 =+LU49 =+LV49 =+LW49 =+LX49 =+LY49 =+LZ49 =+MA49 =+MB49 =+MC49 =+MD49 =+ME49 =+MF49 =+MG49 =+MH49 =+MI49 =+MJ49 =+MK49 =+ML49 =+MM49 =+MN49 =+MO49 =+MP49 =+MQ49 =+MR49 =+MS49 =+MT49 =+MU49 =+MV49 =+MW49 =+MX49 =+MY49 =+MZ49 =+NA49 =+NB49 =+NC49 =+ND49 =+NE49 =+NF49 =+NG49 =+NH49 =+NI49 =+NJ49 =+NK49 =+NL49 =+NM49 =+NN49 =+NO49 =+NP49 =+NQ49 =+NR49 =+NS49 =+NT49 =+NU49 =+NV49 =+NW49 =+NX49 =+NY49 =+NZ49 =+OA49 =+OB49 =+OC49 =+OD49 =+OE49 =+OF49 =+OG49 =+OH49 =+OI49 =+OJ49 =+OK49 =+OL49 =+OM49 =+ON49 =+OO49 =+OP49 =+OQ49 =+OR49 =+OS49 =+OT49 =+OU49 =+OV49 =+OW49 =+OX49 =+OY49 =+OZ49 =+PA49 =+PB49 =+PC49 =+PD49 =+PE49 =+PF49 =+PG49 =+PH49 =+PI49 =+PJ49 =+PK49 =+PL49 =+PM49 =+PN49 =+PO49 =+PP49 =+PQ49 =+PR49 =+PS49 =+PT49 =+PU49 =+PV49 =+PW49 =+PX49 =+PY49 =+PZ49 =+QA49 =+QB49 =+QC49 =+QD49 =+QE49 =+QF49 =+QG49 =+QH49 =+QI49 =+QJ49 =+QK49 =+QL49 =+QM49 =+QN49 =+QO49 =+QP49 =+QQ49 =+QR49 =+QS49 =+QT49 =+QU49 =+QV49 =+QW49 =+QX49 =+QY49 =+QZ49 =+RA49 =+RB49 =+RC49 =+RD49 =+RE49 =+RF49 =+RG49 =+RH49 =+RI49 =+RJ49 =+RK49 =+RL49 =+RM49 =+RN49       </t>
    </r>
  </si>
  <si>
    <r>
      <t>3000</t>
    </r>
    <r>
      <rPr>
        <sz val="8"/>
        <color theme="1"/>
        <rFont val="Arial"/>
        <family val="2"/>
      </rPr>
      <t xml:space="preserve">60 0 2000 3492.2 0 4517 136.2 1000 0 0 0 134.200000000001 -0.0999999999985448 6083.8 7946.5 0 0 6 -0.100000000005821 6060.4 0 0 500 0 2454.2 0 135 =149549.8+1000 0 582.6 432 0 0 29292.8000000002                                     1656.5   127.4                                         591807.2 0 305.1 0 0 0 3516.7 0 1758.1 80646.7 0 8778.2   1000 0 0 0 0 0 0 -0.100000000000023 432 1960.6 12204.9 18339.8 2829.70000000001 0.100000000000364 0 0 0   0 3318 15688.3 169.4 3276.1 582.6 0 0   0 0 0 0 0     3874.5           245                 0 0 9115.6 0 0 0 0 0 7208.8 1768.7     =6933.5+1000 0 0 16054.8 8425.5 0 0 0                     =958.5+500     0 345.600000000002 205.8 7156.1 31397.5 0 0 1235.7 0 1938.6 0 11347.7 324.000000000002 13973.3 0 390.5 0 0 0 0 1345 7281.6 1080 0.1 790.299999999999 776.300000000046 40 0 4346.7 0                                             0 3349.8           0 4250 281.9 219182.799999999 0 0 0 0 0 0 0 87778.3 6.09999999999127 0 1309.19999999995 2798.7 796.5 =169662.3+2700 7.90000000000146 3358.2 0 0                                             0 0 10.0000000000009 50.7999999999997 0 1175 0 324 0 -0.100000000000364 2524 0 0 0 6124.4 0 0 0 0 0 3418.5 0 0 324 148.2 0 -0.0999999999994543 0 =17545.9+500           0 341.900000000001 2233.7 750 0 2350.6 15513.7 0 0 527.3           207.800000000003 0 1142.6 1261.6 240 0     0 0 1000 0.100000000002183 2900.1 33450 6.3664629124105E-12 0 300 =15467.4+1000 300 778.9 8300.9 900.9 237.599999999999 36967.1 1843.5 1186.8 0 0.300000000000001 0.0999999999999091 8000 57135.3999999994   4637.49999999999 0   1000 0 25572.9000000001 0 0 2020.7 0 0 0 566.4 0 7.5 1008     21.3 0 13000 6431.90000000002 0 300 0 0 54.4000000000001 2508.2 =21434.3+1080 4390.4 0 0 1000 23266.4 9536.7 0 1909.5                                                       437.3       </t>
    </r>
  </si>
  <si>
    <r>
      <t>=SUM(BK52:BK54)</t>
    </r>
    <r>
      <rPr>
        <sz val="8"/>
        <color theme="1"/>
        <rFont val="Arial"/>
        <family val="2"/>
      </rPr>
      <t xml:space="preserve">=SUM(BL52:BL54) =SUM(BM52:BM54) =SUM(BN52:BN54) =SUM(BO52:BO54) =SUM(BP52:BP54) =SUM(BQ52:BQ54) =SUM(BR52:BR54) =SUM(BS52:BS54) =SUM(BT52:BT54) =SUM(BU52:BU54) =SUM(BV52:BV54) =SUM(BW52:BW54) =SUM(BX52:BX54) =SUM(BY52:BY54) =SUM(BZ52:BZ54) =SUM(CA52:CA54) =SUM(CB52:CB54) =SUM(CC52:CC54) =SUM(CD52:CD54) =SUM(CE52:CE54) =SUM(CF52:CF54) =SUM(CG52:CG54) =SUM(CH52:CH54) =SUM(CI52:CI54) =SUM(CJ52:CJ54) =SUM(CK52:CK54) =SUM(CL52:CL54) =SUM(CM52:CM54) =SUM(CN52:CN54) =SUM(CO52:CO54) =SUM(CP52:CP54) =SUM(CQ52:CQ54) =SUM(CR52:CR54) =SUM(CS52:CS54) =SUM(CT52:CT54) =SUM(CU52:CU54) =SUM(CV52:CV54) =SUM(CW52:CW54) =SUM(CX52:CX54) =SUM(CY52:CY54) =SUM(CZ52:CZ54) =SUM(DA52:DA54) =SUM(DB52:DB54) =SUM(DC52:DC54) =SUM(DD52:DD54) =SUM(DE52:DE54) =SUM(DF52:DF54) =SUM(DG52:DG54) =SUM(DH52:DH54) =SUM(DI52:DI54) =SUM(DJ52:DJ54) =SUM(DK52:DK54) =SUM(DL52:DL54) =SUM(DM52:DM54) =SUM(DN52:DN54) =SUM(DO52:DO54) =SUM(DP52:DP54) =SUM(DQ52:DQ54) =SUM(DR52:DR54) =SUM(DS52:DS54) =SUM(DT52:DT54) =SUM(DU52:DU54) =SUM(DV52:DV54) =SUM(DW52:DW54) =SUM(DX52:DX54) =SUM(DY52:DY54) =SUM(DZ52:DZ54) =SUM(EA52:EA54) =SUM(EB52:EB54) =SUM(EC52:EC54) =SUM(ED52:ED54) =SUM(EE52:EE54) =SUM(EF52:EF54) =SUM(EG52:EG54) =SUM(EH52:EH54) =SUM(EI52:EI54) =SUM(EJ52:EJ54) =SUM(EK52:EK54) =SUM(EL52:EL54) =SUM(EM52:EM54) =SUM(EN52:EN54) =SUM(EO52:EO54) =SUM(EP52:EP54) =SUM(EQ52:EQ54) =SUM(ER52:ER54) =SUM(ES52:ES54) =SUM(ET52:ET54) =SUM(EU52:EU54) =SUM(EV52:EV54) =SUM(EW52:EW54) =SUM(EX52:EX54) =SUM(EY52:EY54) =SUM(EZ52:EZ54) =SUM(FA52:FA54) =SUM(FB52:FB54) =SUM(FC52:FC54) =SUM(FD52:FD54) =SUM(FE52:FE54) =SUM(FF52:FF54) =SUM(FG52:FG54) =SUM(FH52:FH54) =SUM(FI52:FI54) =SUM(FJ52:FJ54) =SUM(FK52:FK54) =SUM(FL52:FL54) =SUM(FM52:FM54) =SUM(FN52:FN54) =SUM(FO52:FO54) =SUM(FP52:FP54) =SUM(FQ52:FQ54) =SUM(FR52:FR54) =SUM(FS52:FS54) =SUM(FT52:FT54) =SUM(FU52:FU54) =SUM(FV52:FV54) =SUM(FW52:FW54) =SUM(FX52:FX54) =SUM(FY52:FY54) =SUM(FZ52:FZ54) =SUM(GA52:GA54) =SUM(GB52:GB54) =SUM(GC52:GC54) =SUM(GD52:GD54) =SUM(GE52:GE54) =SUM(GF52:GF54) =SUM(GG52:GG54) =SUM(GH52:GH54) =SUM(GI52:GI54) =SUM(GJ52:GJ54) =SUM(GK52:GK54) =SUM(GL52:GL54) =SUM(GM52:GM54) =SUM(GN52:GN54) =SUM(GO52:GO54) =SUM(GP52:GP54) =SUM(GQ52:GQ54) =SUM(GR52:GR54) =SUM(GS52:GS54) =SUM(GT52:GT54) =SUM(GU52:GU54) =SUM(GV52:GV54) =SUM(GW52:GW54) =SUM(GX52:GX54) =SUM(GY52:GY54) =SUM(GZ52:GZ54) =SUM(HA52:HA54) =SUM(HB52:HB54) =SUM(HC52:HC54) =SUM(HD52:HD54) =SUM(HE52:HE54) =SUM(HF52:HF54) =SUM(HG52:HG54) =SUM(HH52:HH54) =SUM(HI52:HI54) =SUM(HJ52:HJ54) =SUM(HK52:HK54) =SUM(HL52:HL54) =SUM(HM52:HM54) =SUM(HN52:HN54) =SUM(HO52:HO54) =SUM(HP52:HP54) =SUM(HQ52:HQ54) =SUM(HR52:HR54) =SUM(HS52:HS54) =SUM(HT52:HT54) =SUM(HU52:HU54) =SUM(HV52:HV54) =SUM(HW52:HW54) =SUM(HX52:HX54) =SUM(HY52:HY54) =SUM(HZ52:HZ54) =SUM(IA52:IA54) =SUM(IB52:IB54) =SUM(IC52:IC54) =SUM(ID52:ID54) =SUM(IE52:IE54) =SUM(IF52:IF54) =SUM(IG52:IG54) =SUM(IH52:IH54) =SUM(II52:II54) =SUM(IJ52:IJ54) =SUM(IK52:IK54) =SUM(IL52:IL54) =SUM(IM52:IM54) =SUM(IN52:IN54) =SUM(IO52:IO54) =SUM(IP52:IP54) =SUM(IQ52:IQ54) =SUM(IR52:IR54) =SUM(IS52:IS54) =SUM(IT52:IT54) =SUM(IU52:IU54) =SUM(IV52:IV54) =SUM(IW52:IW54) =SUM(IX52:IX54) =SUM(IY52:IY54) =SUM(IZ52:IZ54) =SUM(JA52:JA54) =SUM(JB52:JB54) =SUM(JC52:JC54) =SUM(JD52:JD54) =SUM(JE52:JE54) =SUM(JF52:JF54) =SUM(JG52:JG54) =SUM(JH52:JH54) =SUM(JI52:JI54) =SUM(JJ52:JJ54) =SUM(JK52:JK54) =SUM(JL52:JL54) =SUM(JM52:JM54) =SUM(JN52:JN54) =SUM(JO52:JO54) =SUM(JP52:JP54) =SUM(JQ52:JQ54) =SUM(JR52:JR54) =SUM(JS52:JS54) =SUM(JT52:JT54) =SUM(JU52:JU54) =SUM(JV52:JV54) =SUM(JW52:JW54) =SUM(JX52:JX54) =SUM(JY52:JY54) =SUM(JZ52:JZ54) =SUM(KA52:KA54) =SUM(KB52:KB54) =SUM(KC52:KC54) =SUM(KD52:KD54) =SUM(KE52:KE54) =SUM(KF52:KF54) =SUM(KG52:KG54) =SUM(KH52:KH54) =SUM(KI52:KI54) =SUM(KJ52:KJ54) =SUM(KK52:KK54) =SUM(KL52:KL54) =SUM(KM52:KM54) =SUM(KN52:KN54) =SUM(KO52:KO54) =SUM(KP52:KP54) =SUM(KQ52:KQ54) =SUM(KR52:KR54) =SUM(KS52:KS54) =SUM(KT52:KT54) =SUM(KU52:KU54) =SUM(KV52:KV54) =SUM(KW52:KW54) =SUM(KX52:KX54) =SUM(KY52:KY54) =SUM(KZ52:KZ54) =SUM(LA52:LA54) =SUM(LB52:LB54) =SUM(LC52:LC54) =SUM(LD52:LD54) =SUM(LE52:LE54) =SUM(LF52:LF54) =SUM(LG52:LG54) =SUM(LH52:LH54) =SUM(LI52:LI54) =SUM(LJ52:LJ54) =SUM(LK52:LK54) =SUM(LL52:LL54) =SUM(LM52:LM54) =SUM(LN52:LN54) =SUM(LO52:LO54) =SUM(LP52:LP54) =SUM(LQ52:LQ54) =SUM(LR52:LR54) =SUM(LS52:LS54) =SUM(LT52:LT54) =SUM(LU52:LU54) =SUM(LV52:LV54) =SUM(LW52:LW54) =SUM(LX52:LX54) =SUM(LY52:LY54) =SUM(LZ52:LZ54) =SUM(MA52:MA54) =SUM(MB52:MB54) =SUM(MC52:MC54) =SUM(MD52:MD54) =SUM(ME52:ME54) =SUM(MF52:MF54) =SUM(MG52:MG54) =SUM(MH52:MH54) =SUM(MI52:MI54) =SUM(MJ52:MJ54) =SUM(MK52:MK54) =SUM(ML52:ML54) =SUM(MM52:MM54) =SUM(MN52:MN54) =SUM(MO52:MO54) =SUM(MP52:MP54) =SUM(MQ52:MQ54) =SUM(MR52:MR54) =SUM(MS52:MS54) =SUM(MT52:MT54) =SUM(MU52:MU54) =SUM(MV52:MV54) =SUM(MW52:MW54) =SUM(MX52:MX54) =SUM(MY52:MY54) =SUM(MZ52:MZ54) =SUM(NA52:NA54) =SUM(NB52:NB54) =SUM(NC52:NC54) =SUM(ND52:ND54) =SUM(NE52:NE54) =SUM(NF52:NF54) =SUM(NG52:NG54) =SUM(NH52:NH54) =SUM(NI52:NI54) =SUM(NJ52:NJ54) =SUM(NK52:NK54) =SUM(NL52:NL54) =SUM(NM52:NM54) =SUM(NN52:NN54) =SUM(NO52:NO54) =SUM(NP52:NP54) =SUM(NQ52:NQ54) =SUM(NR52:NR54) =SUM(NS52:NS54) =SUM(NT52:NT54) =SUM(NU52:NU54) =SUM(NV52:NV54) =SUM(NW52:NW54) =SUM(NX52:NX54) =SUM(NY52:NY54) =SUM(NZ52:NZ54) =SUM(OA52:OA54) =SUM(OB52:OB54) =SUM(OC52:OC54) =SUM(OD52:OD54) =SUM(OE52:OE54) =SUM(OF52:OF54) =SUM(OG52:OG54) =SUM(OH52:OH54) =SUM(OI52:OI54) =SUM(OJ52:OJ54) =SUM(OK52:OK54) =SUM(OL52:OL54) =SUM(OM52:OM54) =SUM(ON52:ON54) =SUM(OO52:OO54) =SUM(OP52:OP54) =SUM(OQ52:OQ54) =SUM(OR52:OR54) =SUM(OS52:OS54) =SUM(OT52:OT54) =SUM(OU52:OU54) =SUM(OV52:OV54) =SUM(OW52:OW54) =SUM(OX52:OX54) =SUM(OY52:OY54) =SUM(OZ52:OZ54) =SUM(PA52:PA54) =SUM(PB52:PB54) =SUM(PC52:PC54) =SUM(PD52:PD54) =SUM(PE52:PE54) =SUM(PF52:PF54) =SUM(PG52:PG54) =SUM(PH52:PH54) =SUM(PI52:PI54) =SUM(PJ52:PJ54) =SUM(PK52:PK54) =SUM(PL52:PL54) =SUM(PM52:PM54) =SUM(PN52:PN54) =SUM(PO52:PO54) =SUM(PP52:PP54) =SUM(PQ52:PQ54) =SUM(PR52:PR54) =SUM(PS52:PS54) =SUM(PT52:PT54) =SUM(PU52:PU54) =SUM(PV52:PV54) =SUM(PW52:PW54) =SUM(PX52:PX54) =SUM(PY52:PY54) =SUM(PZ52:PZ54) =SUM(QA52:QA54) =SUM(QB52:QB54) =SUM(QC52:QC54) =SUM(QD52:QD54) =SUM(QE52:QE54) =SUM(QF52:QF54) =SUM(QG52:QG54) =SUM(QH52:QH54) =SUM(QI52:QI54) =SUM(QJ52:QJ54) =SUM(QK52:QK54) =SUM(QL52:QL54) =SUM(QM52:QM54) =SUM(QN52:QN54) =SUM(QO52:QO54) =SUM(QP52:QP54) =SUM(QQ52:QQ54) =SUM(QR52:QR54) =SUM(QS52:QS54) =SUM(QT52:QT54) =SUM(QU52:QU54) =SUM(QV52:QV54) =SUM(QW52:QW54) =SUM(QX52:QX54) =SUM(QY52:QY54) =SUM(QZ52:QZ54) =SUM(RA52:RA54) =SUM(RB52:RB54) =SUM(RC52:RC54) =SUM(RD52:RD54) =SUM(RE52:RE54) =SUM(RF52:RF54) =SUM(RG52:RG54) =SUM(RH52:RH54) =SUM(RI52:RI54) =SUM(RJ52:RJ54) =SUM(RK52:RK54) =SUM(RL52:RL54) =SUM(RM52:RM54) =SUM(RN52:RN54)       </t>
    </r>
  </si>
  <si>
    <r>
      <t>0</t>
    </r>
    <r>
      <rPr>
        <sz val="8"/>
        <color theme="1"/>
        <rFont val="Arial"/>
        <family val="2"/>
      </rPr>
      <t xml:space="preserve">0 0 0 0 11184.8 0 0 0 0 0 0 420 0 0 4208.6 0 0 0 0 972 0 0 0 0 0 0 0 0 0 0 0 0 0 97673.2               200                 126   0 0 0 0         566.3 =548+688.6   6508.2                       22446.3 0 0 0 0 0 0 0 761.7 0 0 0     0 0 0 12.6 0 60 144 0 500 572.6 12181.5 0 0 0 0 0 0 0 62.4 0 0 0 0 0 0 0 0 0 0 0 0     0       488.2 =605.2+1841.9 0 0 0             0 0 0 0 0 0 0 0 642.7 0       0 0 0 0 0 0 0   3996.5               569.4       0 216 0 70 0 0 0 0 60 0 50.4 0 0 300 0 0 0 0 1730.4 0 3336.8 0   0 135 0 0 0 0 0                                       3607.3     0 0           0 0 0 34640.7 150 0 0 0 0 0 0 1112.9 1500 0 0 128.8 1000 22450 0 0 0 60                                   0       2 0 0 0 0 0 0 0 0 0 0 0 0 0 0 342 0 0 0 0 582 0 0 0 0 0 0 0 0 0 156         0 0 0 0 10414.4 0 0 0 0 0           210.2 0 0 240 0 0     0 0 0 0 0 720 4600 0 7000 0 0 45 570.8 0 220.5 1974 1069 49.1 221.9 0 21.1 0 189645.4 595.2 7718.8 0 4.5 0 0 78792 1534.8 462.5 595.1 0 0 0 0 0 0 0 0 260.7 0 0.2 0 8971.1 0 0 90 0 0 4056.2 5984.9 5778.4 110.2 280 0 12168.2 360 0 0 5214.6   99   5303.4 2000 0 0 0 0 0 0 236.5 40 0 0 120 0 0 300       108               </t>
    </r>
  </si>
  <si>
    <r>
      <t>0</t>
    </r>
    <r>
      <rPr>
        <sz val="8"/>
        <color theme="1"/>
        <rFont val="Arial"/>
        <family val="2"/>
      </rPr>
      <t xml:space="preserve">149.8 0 0 91.6 287 0 4823.1 94.5 0 0 147.4 110 429.8 672.9 482.4 0 0 1929 266.2 51.4 0 125 548.4 195 1653.4 219.9 0 829.5 755.4 0 569 352.8 0 3396.9     3950.3 932.3 169.4   32 884.3 126.6       344.7 263         363.4 250.9   314.5 619.5 282.1 183 324.2 2038 44.4 455.8 587.4 20.9             247.6       2237.6 0 177.8 214.1 0 0 0 0 43.5 9058.8 0 0 131   55 118.3 50.9 55 115 104 21.3 225 44.7 1850.7 1207.1 1273.3 260.5 151.8 0 0 24 0 45 496 0 0 165 91.6 0 887 0 0 0 0 359 464.5 284 466.9   118.8 185.8 1576 207.4 822.3 25   238.8   525.1     310 0 0 418.1 70 0 532 0 0 108.2 189.5     135.4 32 0 0 699 375 0 0 207.4 364 318.9       317.5     621.6 2264.8     0 0 329 1160.7 1074 0 52.5 0 91.5 0 0 0 90 537.4 32 0 0 0 10730.9 0 991 1067.5 2387.1 0 0 486.5 0 119 447.8 187.2 64   243 1039.1   496.4   298.2   114.5             621.9   173 185     =2348.4+35 1039.1   110       0 0 163 2490.6 0 0 44 249.1 103.4 0 0 3722.1 1363.4 0 0 1490.5 0 679.7 135 0 206 288                   181.6       78.8   141.1   222.2   395.5 113.5   35 0 0 24 369.8 754.5 0 0 0 152.7 55 100 404 136 1078.1 0 0 80 96.8 0 0 0 0 0 647 183 16 0 378.3         103.4 31.8 53.6 293.4 0 208 69 700.5 463.1 41.6 0   79       0 28 0 417.6 0 0   595.2 0 210.1 893.4 468.6 372.7 0 485 69.6 686.5 20 0 151.5 476.8 326.4 49.9 2793.3 425.8 1.8 179.1 30 102 0 1582 235.3 1103.2 0 0 0 0 1021.3 0 42.6 550.1 245.5 0 0 172 1663.8 371 610 685 599.2 186 0 110.4 408.3 0 144 84.5 0 16 232 349 499 0 0 0 1008 649.8 0 203 750.2 4199.6   844.4 824.8 923.8   240         350   48 222 30 4903.5   2076 135.3 45 132 94 45             </t>
    </r>
  </si>
  <si>
    <r>
      <t> </t>
    </r>
    <r>
      <rPr>
        <sz val="8"/>
        <color theme="1"/>
        <rFont val="Arial"/>
        <family val="2"/>
      </rPr>
      <t xml:space="preserve">                                                                  463137.8 674.8 45767.3     2857.8   5 38373.6 9212 460           6387.4             2014.1       261.5 =3265.9+730.1   =380+4033.2             260.7     11446.2 2093.2                                                                                           7172.5           6157.5 64505.7         491.8 951     400                                         37400 39848.8         136.5 16425.8   966     7656.7                     7051.8                                       11693.4   2340.2 10550.7 424.3 =1784.3+120   6466.2                       519 647.5     1300   977                             107757.9     3621.4 2083.5         1726.8               470   348 360     585 4249.4 7867.4         =16706.2+13732.4 6881.4                                                                     35627.2                       136.8   278.1                 29209.1                         2493.9                                 391755.5                                                                 5954.8 8474.8   39422.2 12633.2                                                   </t>
    </r>
  </si>
  <si>
    <r>
      <t>=SUM(BK56:BK62)</t>
    </r>
    <r>
      <rPr>
        <sz val="8"/>
        <color theme="1"/>
        <rFont val="Arial"/>
        <family val="2"/>
      </rPr>
      <t xml:space="preserve">=SUM(BL56:BL62) =SUM(BM56:BM62) =SUM(BN56:BN62) =SUM(BO56:BO62) 400 =SUM(BQ56:BQ62) =SUM(BR56:BR62) =SUM(BS56:BS62) =SUM(BT56:BT62) =SUM(BU56:BU62) =SUM(BV56:BV62) =SUM(BW56:BW62) =SUM(BX56:BX62) =SUM(BY56:BY62) =SUM(BZ56:BZ62) =SUM(CA56:CA62) =SUM(CB56:CB62) =SUM(CC56:CC62) =SUM(CD56:CD62) =SUM(CE56:CE62) =SUM(CF56:CF62) =SUM(CG56:CG62) =SUM(CH56:CH62) =SUM(CI56:CI62) =SUM(CJ56:CJ62) =SUM(CK56:CK62) =SUM(CL56:CL62) =SUM(CM56:CM62) =SUM(CN56:CN62) =SUM(CO56:CO62) =SUM(CP56:CP62) =SUM(CQ56:CQ62) =SUM(CR56:CR62) =SUM(CS56:CS62) =SUM(CT56:CT62) =SUM(CU56:CU62) =SUM(CV56:CV62) =SUM(CW56:CW62) =SUM(CX56:CX62) =SUM(CY56:CY62) =SUM(CZ56:CZ62) =SUM(DA56:DA62) =SUM(DB56:DB62) =SUM(DC56:DC62) =SUM(DD56:DD62) =SUM(DE56:DE62) =SUM(DF56:DF62) =SUM(DG56:DG62) =SUM(DH56:DH62) =SUM(DI56:DI62) =SUM(DJ56:DJ62) =SUM(DK56:DK62) =SUM(DL56:DL62) =SUM(DM56:DM62) =SUM(DN56:DN62) =SUM(DO56:DO62) =SUM(DP56:DP62) =SUM(DQ56:DQ62) =SUM(DR56:DR62) =SUM(DS56:DS62) =SUM(DT56:DT62) =SUM(DU56:DU62) =SUM(DV56:DV62) =SUM(DW56:DW62) =SUM(DX56:DX62) =SUM(DY56:DY62) =SUM(DZ56:DZ62) =SUM(EA56:EA62) =SUM(EB56:EB62) =SUM(EC56:EC62) =SUM(ED56:ED62) =SUM(EE56:EE62) =SUM(EF56:EF62) =SUM(EG56:EG62) =SUM(EH56:EH62) =SUM(EI56:EI62) =SUM(EJ56:EJ62) =SUM(EK56:EK62) =SUM(EL56:EL62) =SUM(EM56:EM62) =SUM(EN56:EN62) =SUM(EO56:EO62) =SUM(EP56:EP62) =SUM(EQ56:EQ62) =SUM(ER56:ER62) =SUM(ES56:ES62) =SUM(ET56:ET62) =SUM(EU56:EU62) =SUM(EV56:EV62) =SUM(EW56:EW62) =SUM(EX56:EX62) =SUM(EY56:EY62) =SUM(EZ56:EZ62) =SUM(FA56:FA62) =SUM(FB56:FB62) =SUM(FC56:FC62) =SUM(FD56:FD62) =SUM(FE56:FE62) =SUM(FF56:FF62) =SUM(FG56:FG62) =SUM(FH56:FH62) =SUM(FI56:FI62) =SUM(FJ56:FJ62) =SUM(FK56:FK62) =SUM(FL56:FL62) =SUM(FM56:FM62) =SUM(FN56:FN62) =SUM(FO56:FO62) =SUM(FP56:FP62) =SUM(FQ56:FQ62) =SUM(FR56:FR62) =SUM(FS56:FS62) =SUM(FT56:FT62) =SUM(FU56:FU62) =SUM(FV56:FV62) =SUM(FW56:FW62) =SUM(FX56:FX62) =SUM(FY56:FY62) =SUM(FZ56:FZ62) =SUM(GA56:GA62) =SUM(GB56:GB62) =SUM(GC56:GC62) =SUM(GD56:GD62) =SUM(GE56:GE62) =SUM(GF56:GF62) =SUM(GG56:GG62) =SUM(GH56:GH62) =SUM(GI56:GI62) =SUM(GJ56:GJ62) =SUM(GK56:GK62) =SUM(GL56:GL62) =SUM(GM56:GM62) =SUM(GN56:GN62) =SUM(GO56:GO62) =SUM(GP56:GP62) =SUM(GQ56:GQ62) =SUM(GR56:GR62) =SUM(GS56:GS62) =SUM(GT56:GT62) =SUM(GU56:GU62) =SUM(GV56:GV62) =SUM(GW56:GW62) =SUM(GX56:GX62) =SUM(GY56:GY62) =SUM(GZ56:GZ62) =SUM(HA56:HA62) =SUM(HB56:HB62) =SUM(HC56:HC62) =SUM(HD56:HD62) =SUM(HE56:HE62) =SUM(HF56:HF62) =SUM(HG56:HG62) =SUM(HH56:HH62) =SUM(HI56:HI62) =SUM(HJ56:HJ62) =SUM(HK56:HK62) =SUM(HL56:HL62) =SUM(HM56:HM62) =SUM(HN56:HN62) =SUM(HO56:HO62) =SUM(HP56:HP62) =SUM(HQ56:HQ62) =SUM(HR56:HR62) =SUM(HS56:HS62) =SUM(HT56:HT62) =SUM(HU56:HU62) =SUM(HV56:HV62) =SUM(HW56:HW62) =SUM(HX56:HX62) =SUM(HY56:HY62) =SUM(HZ56:HZ62) =SUM(IA56:IA62) =SUM(IB56:IB62) =SUM(IC56:IC62) =SUM(ID56:ID62) =SUM(IE56:IE62) =SUM(IF56:IF62) =SUM(IG56:IG62) =SUM(IH56:IH62) =SUM(II56:II62) =SUM(IJ56:IJ62) =SUM(IK56:IK62) =SUM(IL56:IL62) =SUM(IM56:IM62) =SUM(IN56:IN62) =SUM(IO56:IO62) =SUM(IP56:IP62) =SUM(IQ56:IQ62) =SUM(IR56:IR62) =SUM(IS56:IS62) =SUM(IT56:IT62) =SUM(IU56:IU62) =SUM(IV56:IV62) =SUM(IW56:IW62) =SUM(IX56:IX62) =SUM(IY56:IY62) =SUM(IZ56:IZ62) =SUM(JA56:JA62) =SUM(JB56:JB62) =SUM(JC56:JC62) =SUM(JD56:JD62) =SUM(JE56:JE62) =SUM(JF56:JF62) =SUM(JG56:JG62) =SUM(JH56:JH62) =SUM(JI56:JI62) =SUM(JJ56:JJ62) =SUM(JK56:JK62) =SUM(JL56:JL62) =SUM(JM56:JM62) =SUM(JN56:JN62) =SUM(JO56:JO62) =SUM(JP56:JP62) =SUM(JQ56:JQ62) =SUM(JR56:JR62) =SUM(JS56:JS62) =SUM(JT56:JT62) =SUM(JU56:JU62) =SUM(JV56:JV62) =SUM(JW56:JW62) =SUM(JX56:JX62) =SUM(JY56:JY62) =SUM(JZ56:JZ62) =SUM(KA56:KA62) =SUM(KB56:KB62) =SUM(KC56:KC62) =SUM(KD56:KD62) =SUM(KE56:KE62) =SUM(KF56:KF62) =SUM(KG56:KG62) =SUM(KH56:KH62) =SUM(KI56:KI62) =SUM(KJ56:KJ62) =SUM(KK56:KK62) =SUM(KL56:KL62) =SUM(KM56:KM62) =SUM(KN56:KN62) =SUM(KO56:KO62) =SUM(KP56:KP62) =SUM(KQ56:KQ62) =SUM(KR56:KR62) =SUM(KS56:KS62) =SUM(KT56:KT62) =SUM(KU56:KU62) =SUM(KV56:KV62) =SUM(KW56:KW62) =SUM(KX56:KX62) =SUM(KY56:KY62) =SUM(KZ56:KZ62) =SUM(LA56:LA62) =SUM(LB56:LB62) =SUM(LC56:LC62) =SUM(LD56:LD62) =SUM(LE56:LE62) =SUM(LF56:LF62) =SUM(LG56:LG62) =SUM(LH56:LH62) =SUM(LI56:LI62) =SUM(LJ56:LJ62) =SUM(LK56:LK62) =SUM(LL56:LL62) =SUM(LM56:LM62) =SUM(LN56:LN62) =SUM(LO56:LO62) =SUM(LP56:LP62) =SUM(LQ56:LQ62) =SUM(LR56:LR62) =SUM(LS56:LS62) =SUM(LT56:LT62) =SUM(LU56:LU62) =SUM(LV56:LV62) =SUM(LW56:LW62) =SUM(LX56:LX62) =SUM(LY56:LY62) =SUM(LZ56:LZ62) =SUM(MA56:MA62) =SUM(MB56:MB62) =SUM(MC56:MC62) =SUM(MD56:MD62) =SUM(ME56:ME62) =SUM(MF56:MF62) =SUM(MG56:MG62) =SUM(MH56:MH62) =SUM(MI56:MI62) =SUM(MJ56:MJ62) =SUM(MK56:MK62) =SUM(ML56:ML62) =SUM(MM56:MM62) =SUM(MN56:MN62) =SUM(MO56:MO62) =SUM(MP56:MP62) =SUM(MQ56:MQ62) =SUM(MR56:MR62) =SUM(MS56:MS62) =SUM(MT56:MT62) =SUM(MU56:MU62) =SUM(MV56:MV62) =SUM(MW56:MW62) =SUM(MX56:MX62) =SUM(MY56:MY62) =SUM(MZ56:MZ62) =SUM(NA56:NA62) =SUM(NB56:NB62) =SUM(NC56:NC62) =SUM(ND56:ND62) =SUM(NE56:NE62) =SUM(NF56:NF62) =SUM(NG56:NG62) =SUM(NH56:NH62) =SUM(NI56:NI62) =SUM(NJ56:NJ62) =SUM(NK56:NK62) =SUM(NL56:NL62) =SUM(NM56:NM62) =SUM(NN56:NN62) =SUM(NO56:NO62) =SUM(NP56:NP62) =SUM(NQ56:NQ62) =SUM(NR56:NR62) =SUM(NS56:NS62) =SUM(NT56:NT62) =SUM(NU56:NU62) =SUM(NV56:NV62) =SUM(NW56:NW62) =SUM(NX56:NX62) =SUM(NY56:NY62) =SUM(NZ56:NZ62) =SUM(OA56:OA62) =SUM(OB56:OB62) =SUM(OC56:OC62) =SUM(OD56:OD62) =SUM(OE56:OE62) =SUM(OF56:OF62) =SUM(OG56:OG62) =SUM(OH56:OH62) =SUM(OI56:OI62) =SUM(OJ56:OJ62) =SUM(OK56:OK62) =SUM(OL56:OL62) =SUM(OM56:OM62) =SUM(ON56:ON62) =SUM(OO56:OO62) =SUM(OP56:OP62) =SUM(OQ56:OQ62) =SUM(OR56:OR62) =SUM(OS56:OS62) =SUM(OT56:OT62) =SUM(OU56:OU62) =SUM(OV56:OV62) =SUM(OW56:OW62) =SUM(OX56:OX62) =SUM(OY56:OY62) =SUM(OZ56:OZ62) =SUM(PA56:PA62) =SUM(PB56:PB62) =SUM(PC56:PC62) =SUM(PD56:PD62) =SUM(PE56:PE62) =SUM(PF56:PF62) =SUM(PG56:PG62) =SUM(PH56:PH62) =SUM(PI56:PI62) =SUM(PJ56:PJ62) =SUM(PK56:PK62) =SUM(PL56:PL62) =SUM(PM56:PM62) =SUM(PN56:PN62) =SUM(PO56:PO62) =SUM(PP56:PP62) =SUM(PQ56:PQ62) =SUM(PR56:PR62) =SUM(PS56:PS62) =SUM(PT56:PT62) =SUM(PU56:PU62) =SUM(PV56:PV62) =SUM(PW56:PW62) =SUM(PX56:PX62) =SUM(PY56:PY62) =SUM(PZ56:PZ62) =SUM(QA56:QA62) =SUM(QB56:QB62) =SUM(QC56:QC62) =SUM(QD56:QD62) =SUM(QE56:QE62) =SUM(QF56:QF62) =SUM(QG56:QG62) =SUM(QH56:QH62) =SUM(QI56:QI62) =SUM(QJ56:QJ62) =SUM(QK56:QK62) =SUM(QL56:QL62) =SUM(QM56:QM62) =SUM(QN56:QN62) =SUM(QO56:QO62) =SUM(QP56:QP62) =SUM(QQ56:QQ62) =SUM(QR56:QR62) =SUM(QS56:QS62) =SUM(QT56:QT62) =SUM(QU56:QU62) =SUM(QV56:QV62) =SUM(QW56:QW62) =SUM(QX56:QX62) =SUM(QY56:QY62) =SUM(QZ56:QZ62) =SUM(RA56:RA62) =SUM(RB56:RB62) =SUM(RC56:RC62) =SUM(RD56:RD62) =SUM(RE56:RE62) =SUM(RF56:RF62) =SUM(RG56:RG62) =SUM(RH56:RH62) =SUM(RI56:RI62) =SUM(RJ56:RJ62) =SUM(RK56:RK62) =SUM(RL56:RL62) =SUM(RM56:RM62) =SUM(RN56:RN62)       </t>
    </r>
  </si>
  <si>
    <r>
      <t>0</t>
    </r>
    <r>
      <rPr>
        <sz val="8"/>
        <color theme="1"/>
        <rFont val="Arial"/>
        <family val="2"/>
      </rPr>
      <t xml:space="preserve">180 0 0 0 0 0 0 576 0 0 0 0 1641 23184.2 0 0 0 4470.3 0 0 0 0 62.4 0 0 600 0 8290 0 0 0 0 0 49611.4                         9011.6           0 0 0 0 140       800 2189.1 37613.1 1120                       0 0 0 19.9 0 0 0 0 625 560.2 0 0   640 0 0 0 0 0 0 0 0 0 0 0 0 0 0 0 0 688 0 0 0 0 2383.6 0 0 0 4552 0 0 0 0 1000   240.5 360       4416   1725 0 0 7216           0 0 3968 0 0 0 0 16596.6 584.7 1064     800 0 0 0 318 0 0 0                     880     0 0 3477.6 2284.3 0 0 0 0 140 1416 4000 0 0 0 0 0 0 0 16872 1353 0 3792 0 0 190 0 0 150 0 0           770 1075     19260 100                 960     1536 0           0 296 96 168764.6 0 0 0 0 0 0 0 0 0 0 1700 1049.4 0 1769.6 0 0 0 7410                                   0 857.6     800 0 0 0 0 0 0 0 0 0 6 0 999 0 0 0 0 0 0 0 233.6 0 0 0 0 0 0 0 0 0 384         0 0 0 668 0 0 0 1152 0 415 1648         0 0 320 0 1772 1120   144.2 0 0 1896 0 0 0 0 0 0 71.3 3825 272.8 0 96 738.6 8994.5 1604.2 1305 0.1 0 0 0 3821.5 547.8 376.3 0 312.8 3561.6 2 2175.6 96 3000 0 0 0 19.2 0 421.6 765.5 1712 3312 1932.4 0 0 7328 1750 0 0 0 0 2000 0 23620.4 3919.5 0 105.2 0 461.2 0 0 0 0 10800   962.9 373.9   0 432 432 656 216 0 0 176.8 1680 2696 1130 640 204 0     160 576.5 364.8 396 552 4000       </t>
    </r>
  </si>
  <si>
    <r>
      <t>0</t>
    </r>
    <r>
      <rPr>
        <sz val="8"/>
        <color theme="1"/>
        <rFont val="Arial"/>
        <family val="2"/>
      </rPr>
      <t xml:space="preserve">0 0 0 0 0 0 136.2 40 0 0 0 134.2 0 0 7547.5 0 0 6 0 0 0 0 6000 0 0 0 0 20664 0 0 0 0 0 1439.6           0           0 1650 0 0 0 0   0 0 0 0 157.4     18051.6     265.6 4586.7               0 0     3204 0 0 0 0 0 0 0 856.8 0 0 2000   0 0 0 0 0 0 0 0 0 0 0 0 0 0 0 0 0 150 0 0 12847.8 0 0 0 0 0 11365.3 0 0 0 0 0   0 3875       400   245 0 0 0 0         0 0 9000 0 0 0 0 0 596.9 1672     390 0 0 0 7169.1 0 0 0                     0     0 0 0 6984.3 2484.6 0 0 0 0 1938.6 7133.8 0 0 4000 0 0 0 0 1200 600 0 7281.6 0 0 0 0 0 0 1500 0             0   2916 0 0 0               800 0 0 0 1894.1           0 4000 0 912.5 0 0 0 0 0 0 0 17438.5 0 0 0 0 0 116615.8 0 2895 0 0         0 0                       0 0 18864 0 1800 0 0 0 0 0 0 0 0 0 0 0 0 0 0 4487 0 0 0 0 0 1200 0 0 0 0 0 0 0 15842.5 0   0     0 0 1000 0 0 0 9806.2 0 0 0 0         0 0 0 0 0 7400   882 0 0 1000 0 0 0 0 0 0 0 0 0 3570.8 0 0 0 0 295.5 0 0 0 0 0 1053.8 0 0 1093.5 1000 0 22222.8 0 0 0 0 0 0 0 0 0 1000 0 0 0 0 0 5880 0 0 0 0 0 750 521.1 0 0 0 1000 4627.2 4646.8 0 1600 3185     0     0 0 0 0 0 1400 0 0 0 0 0 0 0 0   0 0 0 0 0 0 0       </t>
    </r>
  </si>
  <si>
    <r>
      <t>0</t>
    </r>
    <r>
      <rPr>
        <sz val="8"/>
        <color theme="1"/>
        <rFont val="Arial"/>
        <family val="2"/>
      </rPr>
      <t xml:space="preserve">0 0 0 0 0 0 0 0 0 0 0 0 0 0 0 0 0 0 0 0 0 0 0 0 0 0 0 0 0 0 0 0 0 0           0           0 0 0 0 0 0   0 0 0 0             0                 0 0     0 0 0 0 0 0 0 0 0 0 0 0   0 0 0 0 0 0 0 0 0 0 0 0 0 0 0 0 0 0 0 0 0 0 0 0 0 0 0 0 0 0 0 0   0 0           0 0 0 0 0         0 0 0 0 0 0 0 0 0 75     0 0 0 0 0 0 0 0                     0     0 0 0 0 0 0 0 0 0 0 0 0 0 0 0 0 0 0 0 0 0 0 0 0 0 0 0 0 0 0             0     0 0 0                 0 0 0 0           0 52 0 0 0 0 0 0 0 0 0 0 0 0 0 0 0 0 0 0 0 0         0 0                       0 0   0   0 0 0 0 0 0 0 0 0 0 0 0 0 0 0 0 0 0 0 0 0 0 0 0 0 0 0 0 0 0   0     0 0 0 0 0 0 0 0 0 0 0         0 0 0 0 0 0     0 0 0 0 0 0 0 0 0 0 0 0 0 0 0 0 0 0 0 0 0 0 0 0 0 0 120 0 0 0 0 0 0 0 0 0 0 0 0 0 0 0 0 0 0 0 691.5 0 0 0 0 0 0 0 0 0 0 0 0 0 0 0     0     0 0 0 0 0 0 0 0 0 0 0 0 0 0   0 0 0 100 0 0 0       </t>
    </r>
  </si>
  <si>
    <r>
      <t> </t>
    </r>
    <r>
      <rPr>
        <sz val="8"/>
        <color theme="1"/>
        <rFont val="Arial"/>
        <family val="2"/>
      </rPr>
      <t xml:space="preserve">                                                                                                                              813.3                       550882                                                                                                                                                                                                                                 40000                                                                                                                   2100                                                                         2100                                                                                                                     3570.8                                                         1951.1                               1700                                   245   1011.1             500               </t>
    </r>
  </si>
  <si>
    <r>
      <t> </t>
    </r>
    <r>
      <rPr>
        <sz val="8"/>
        <color theme="1"/>
        <rFont val="Arial"/>
        <family val="2"/>
      </rPr>
      <t xml:space="preserve">                                                                                                                                                                                                                                                                                                                                                                        1686.3                                                                                                                                                                                                                                                                                                                                                                                                                                                                                                   </t>
    </r>
  </si>
  <si>
    <r>
      <t>=+BK71+BK73</t>
    </r>
    <r>
      <rPr>
        <sz val="8"/>
        <color theme="1"/>
        <rFont val="Arial"/>
        <family val="2"/>
      </rPr>
      <t xml:space="preserve">=+BL71+BL73 =+BM71+BM73 =+BN71+BN73 =+BO71+BO73 =+BP71+BP73 =+BQ71+BQ73 =+BR71+BR73 =+BS71+BS73 =+BT71+BT73 =+BU71+BU73 =+BV71+BV73 =+BW71+BW73 =+BX71+BX73 =+BY71+BY73 =+BZ71+BZ73 =+CA71+CA73 =+CB71+CB73 =+CC71+CC73 =+CD71+CD73 =+CE71+CE73 =+CF71+CF73 =+CG71+CG73 =+CH71+CH73 =+CI71+CI73 =+CJ71+CJ73 =+CK71+CK73 =+CL71+CL73 =+CM71+CM73 =+CN71+CN73 =+CO71+CO73 =+CP71+CP73 =+CQ71+CQ73 =+CR71+CR73 =+CS71+CS73 =+CT71+CT73 =+CU71+CU73 =+CV71+CV73 =+CW71+CW73 =+CX71+CX73 =+CY71+CY73 =+CZ71+CZ73 =+DA71+DA73 =+DB71+DB73 =+DC71+DC73 =+DD71+DD73 =+DE71+DE73 =+DF71+DF73 =+DG71+DG73 =+DH71+DH73 =+DI71+DI73 =+DJ71+DJ73 =+DK71+DK73 =+DL71+DL73 =+DM71+DM73 =+DN71+DN73 =+DO71+DO73 =+DP71+DP73 =+DQ71+DQ73 =+DR71+DR73 =+DS71+DS73 =+DT71+DT73 =+DU71+DU73 =+DV71+DV73 =+DW71+DW73 =+DX71+DX73 =+DY71+DY73 =+DZ71+DZ73 =+EA71+EA73 =+EB71+EB73 =+EC71+EC73 =+ED71+ED73 =+EE71+EE73 =+EF71+EF73 =+EG71+EG73 =+EH71+EH73 =+EI71+EI73 =+EJ71+EJ73 =+EK71+EK73 =+EL71+EL73 =+EM71+EM73 =+EN71+EN73 =+EO71+EO73 =+EP71+EP73 =+EQ71+EQ73 =+ER71+ER73 =+ES71+ES73 =+ET71+ET73 =+EU71+EU73 =+EV71+EV73 =+EW71+EW73 =+EX71+EX73 =+EY71+EY73 =+EZ71+EZ73 =+FA71+FA73 =+FB71+FB73 =+FC71+FC73 =+FD71+FD73 =+FE71+FE73 =+FF71+FF73 =+FG71+FG73 =+FH71+FH73 =+FI71+FI73 =+FJ71+FJ73 =+FK71+FK73 =+FL71+FL73 =+FM71+FM73 =+FN71+FN73 =+FO71+FO73 =+FP71+FP73 =+FQ71+FQ73 =+FR71+FR73 =+FS71+FS73 =+FT71+FT73 =+FU71+FU73 =+FV71+FV73 =+FW71+FW73 =+FX71+FX73 =+FY71+FY73 =+FZ71+FZ73 =+GA71+GA73 =+GB71+GB73 =+GC71+GC73 =+GD71+GD73 =+GE71+GE73 =+GF71+GF73 =+GG71+GG73 =+GH71+GH73 =+GI71+GI73 =+GJ71+GJ73 =+GK71+GK73 =+GL71+GL73 =+GM71+GM73 =+GN71+GN73 =+GO71+GO73 =+GP71+GP73 =+GQ71+GQ73 =+GR71+GR73 =+GS71+GS73 =+GT71+GT73 =+GU71+GU73 =+GV71+GV73 =+GW71+GW73 =+GX71+GX73 =+GY71+GY73 =+GZ71+GZ73 =+HA71+HA73 =+HB71+HB73 =+HC71+HC73 =+HD71+HD73 =+HE71+HE73 =+HF71+HF73 =+HG71+HG73 =+HH71+HH73 =+HI71+HI73 =+HJ71+HJ73 =+HK71+HK73 =+HL71+HL73 =+HM71+HM73 =+HN71+HN73 =+HO71+HO73 =+HP71+HP73 =+HQ71+HQ73 =+HR71+HR73 =+HS71+HS73 =+HT71+HT73 =+HU71+HU73 =+HV71+HV73 =+HW71+HW73 =+HX71+HX73 =+HY71+HY73 =+HZ71+HZ73 =+IA71+IA73 =+IB71+IB73 =+IC71+IC73 =+ID71+ID73 =+IE71+IE73 =+IF71+IF73 =+IG71+IG73 =+IH71+IH73 =+II71+II73 =+IJ71+IJ73 =+IK71+IK73 =+IL71+IL73 =+IM71+IM73 =+IN71+IN73 =+IO71+IO73 =+IP71+IP73 =+IQ71+IQ73 =+IR71+IR73 =+IS71+IS73 =+IT71+IT73 =+IU71+IU73 =+IV71+IV73 =+IW71+IW73 =+IX71+IX73 =+IY71+IY73 =+IZ71+IZ73 =+JA71+JA73 =+JB71+JB73 =+JC71+JC73 =+JD71+JD73 =+JE71+JE73 =+JF71+JF73 =+JG71+JG73 =+JH71+JH73 =+JI71+JI73 =+JJ71+JJ73 =+JK71+JK73 =+JL71+JL73 =+JM71+JM73 =+JN71+JN73 =+JO71+JO73 =+JP71+JP73 =+JQ71+JQ73 =+JR71+JR73 =+JS71+JS73 =+JT71+JT73 =+JU71+JU73 =+JV71+JV73 =+JW71+JW73 =+JX71+JX73 =+JY71+JY73 =+JZ71+JZ73 =+KA71+KA73 =+KB71+KB73 =+KC71+KC73 =+KD71+KD73 =+KE71+KE73 =+KF71+KF73 =+KG71+KG73 =+KH71+KH73 =+KI71+KI73 =+KJ71+KJ73 =+KK71+KK73 =+KL71+KL73 =+KM71+KM73 =+KN71+KN73 =+KO71+KO73 =+KP71+KP73 =+KQ71+KQ73 =+KR71+KR73 =+KS71+KS73 =+KT71+KT73 =+KU71+KU73 =+KV71+KV73 =+KW71+KW73 =+KX71+KX73 =+KY71+KY73 =+KZ71+KZ73 =+LA71+LA73 =+LB71+LB73 =+LC71+LC73 =+LD71+LD73 =+LE71+LE73 =+LF71+LF73 =+LG71+LG73 =+LH71+LH73 =+LI71+LI73 =+LJ71+LJ73 =+LK71+LK73 =+LL71+LL73 =+LM71+LM73 =+LN71+LN73 =+LO71+LO73 =+LP71+LP73 =+LQ71+LQ73 =+LR71+LR73 =+LS71+LS73 =+LT71+LT73 =+LU71+LU73 =+LV71+LV73 =+LW71+LW73 =+LX71+LX73 =+LY71+LY73 =+LZ71+LZ73 =+MA71+MA73 =+MB71+MB73 =+MC71+MC73 =+MD71+MD73 =+ME71+ME73 =+MF71+MF73 =+MG71+MG73 =+MH71+MH73 =+MI71+MI73 =+MJ71+MJ73 =+MK71+MK73 =+ML71+ML73 =+MM71+MM73 =+MN71+MN73 =+MO71+MO73 =+MP71+MP73 =+MQ71+MQ73 =+MR71+MR73 =+MS71+MS73 =+MT71+MT73 =+MU71+MU73 =+MV71+MV73 =+MW71+MW73 =+MX71+MX73 =+MY71+MY73 =+MZ71+MZ73 =+NA71+NA73 =+NB71+NB73 =+NC71+NC73 =+ND71+ND73 =+NE71+NE73 =+NF71+NF73 =+NG71+NG73 =+NH71+NH73 =+NI71+NI73 =+NJ71+NJ73 =+NK71+NK73 =+NL71+NL73 =+NM71+NM73 =+NN71+NN73 =+NO71+NO73 =+NP71+NP73 =+NQ71+NQ73 =+NR71+NR73 =+NS71+NS73 =+NT71+NT73 =+NU71+NU73 =+NV71+NV73 =+NW71+NW73 =+NX71+NX73 =+NY71+NY73 =+NZ71+NZ73 =+OA71+OA73 =+OB71+OB73 =+OC71+OC73 =+OD71+OD73 =+OE71+OE73 =+OF71+OF73 =+OG71+OG73 =+OH71+OH73 =+OI71+OI73 =+OJ71+OJ73 =+OK71+OK73 =+OL71+OL73 =+OM71+OM73 =+ON71+ON73 =+OO71+OO73 =+OP71+OP73 =+OQ71+OQ73 =+OR71+OR73 =+OS71+OS73 =+OT71+OT73 =+OU71+OU73 =+OV71+OV73 =+OW71+OW73 =+OX71+OX73 =+OY71+OY73 =+OZ71+OZ73 =+PA71+PA73 =+PB71+PB73 =+PC71+PC73 =+PD71+PD73 =+PE71+PE73 =+PF71+PF73 =+PG71+PG73 =+PH71+PH73 =+PI71+PI73 =+PJ71+PJ73 =+PK71+PK73 =+PL71+PL73 =+PM71+PM73 =+PN71+PN73 =+PO71+PO73 =+PP71+PP73 =+PQ71+PQ73 =+PR71+PR73 =+PS71+PS73 =+PT71+PT73 =+PU71+PU73 =+PV71+PV73 =+PW71+PW73 =+PX71+PX73 =+PY71+PY73 =+PZ71+PZ73 =+QA71+QA73 =+QB71+QB73 =+QC71+QC73 =+QD71+QD73 =+QE71+QE73 =+QF71+QF73 =+QG71+QG73 =+QH71+QH73 =+QI71+QI73 =+QJ71+QJ73 =+QK71+QK73 =+QL71+QL73 =+QM71+QM73 =+QN71+QN73 =+QO71+QO73 =+QP71+QP73 =+QQ71+QQ73 =+QR71+QR73 =+QS71+QS73 =+QT71+QT73 =+QU71+QU73 =+QV71+QV73 =+QW71+QW73 =+QX71+QX73 =+QY71+QY73 =+QZ71+QZ73 =+RA71+RA73 =+RB71+RB73 =+RC71+RC73 =+RD71+RD73 =+RE71+RE73 =+RF71+RF73 =+RG71+RG73 =+RH71+RH73 =+RI71+RI73 =+RJ71+RJ73 =+RK71+RK73 =+RL71+RL73 =+RM71+RM73 =+RN71+RN73       </t>
    </r>
  </si>
  <si>
    <r>
      <t>=BK72</t>
    </r>
    <r>
      <rPr>
        <sz val="8"/>
        <color theme="1"/>
        <rFont val="Arial"/>
        <family val="2"/>
      </rPr>
      <t xml:space="preserve">=BL72 =BM72 =BN72 =BO72 =BP72 =BQ72 =BR72 =BS72 =BT72 =BU72 =BV72 =BW72 =BX72 =BY72 =BZ72 =CA72 =CB72 =CC72 =CD72 =CE72 =CF72 =CG72 =CH72 =CI72 =CJ72 =CK72 =CL72 =CM72 =CN72 =CO72 =CP72 =CQ72 =CR72 =CS72 =CT72 =CU72 =CV72 =CW72 =CX72 =CY72 =CZ72 =DA72 =DB72 =DC72 =DD72 =DE72 =DF72 =DG72 =DH72 =DI72 =DJ72 =DK72 =DL72 =DM72 =DN72 =DO72 =DP72 =DQ72 =DR72 =DS72 =DT72 =DU72 =DV72 =DW72 =DX72 =DY72 =DZ72 =EA72 =EB72 =EC72 =ED72 =EE72 =EF72 =EG72 =EH72 =EI72 =EJ72 =EK72 =EL72 =EM72 =EN72 =EO72 =EP72 =EQ72 =ER72 =ES72 =ET72 =EU72 =EV72 =EW72 =EX72 =EY72 =EZ72 =FA72 =FB72 =FC72 =FD72 =FE72 =FF72 =FG72 =FH72 =FI72 =FJ72 =FK72 =FL72 =FM72 =FN72 =FO72 =FP72 =FQ72 =FR72 =FS72 =FT72 =FU72 =FV72 =FW72 =FX72 =FY72 =FZ72 =GA72 =GB72 =GC72 =GD72 =GE72 =GF72 =GG72 =GH72 =GI72 =GJ72 =GK72 =GL72 =GM72 =GN72 =GO72 =GP72 =GQ72 =GR72 =GS72 =GT72 =GU72 =GV72 =GW72 =GX72 =GY72 =GZ72 =HA72 =HB72 =HC72 =HD72 =HE72 =HF72 =HG72 =HH72 =HI72 =HJ72 =HK72 =HL72 =HM72 =HN72 =HO72 =HP72 =HQ72 =HR72 =HS72 =HT72 =HU72 =HV72 =HW72 =HX72 =HY72 =HZ72 =IA72 =IB72 =IC72 =ID72 =IE72 =IF72 =IG72 =IH72 =II72 =IJ72 =IK72 =IL72 =IM72 =IN72 =IO72 =IP72 =IQ72 =IR72 =IS72 =IT72 =IU72 =IV72 =IW72 =IX72 =IY72 =IZ72 =JA72 =JB72 =JC72 =JD72 =JE72 =JF72 =JG72 =JH72 =JI72 =JJ72 =JK72 =JL72 =JM72 =JN72 =JO72 =JP72 =JQ72 =JR72 =JS72 =JT72 =JU72 =JV72 =JW72 =JX72 =JY72 =JZ72 =KA72 =KB72 =KC72 =KD72 =KE72 =KF72 =KG72 =KH72 =KI72 =KJ72 =KK72 =KL72 =KM72 =KN72 =KO72 =KP72 =KQ72 =KR72 =KS72 =KT72 =KU72 =KV72 =KW72 =KX72 =KY72 =KZ72 =LA72 =LB72 =LC72 =LD72 =LE72 =LF72 =LG72 =LH72 =LI72 =LJ72 =LK72 =LL72 =LM72 =LN72 =LO72 =LP72 =LQ72 =LR72 =LS72 =LT72 =LU72 =LV72 =LW72 =LX72 =LY72 =LZ72 =MA72 =MB72 =MC72 =MD72 =ME72 =MF72 =MG72 =MH72 =MI72 =MJ72 =MK72 =ML72 =MM72 =MN72 =MO72 =MP72 =MQ72 =MR72 =MS72 =MT72 =MU72 =MV72 =MW72 =MX72 =MY72 =MZ72 =NA72 =NB72 =NC72 =ND72 =NE72 =NF72 =NG72 =NH72 =NI72 =NJ72 =NK72 =NL72 =NM72 =NN72 =NO72 =NP72 =NQ72 =NR72 =NS72 =NT72 =NU72 =NV72 =NW72 =NX72 =NY72 =NZ72 =OA72 =OB72 =OC72 =OD72 =OE72 =OF72 =OG72 =OH72 =OI72 =OJ72 =OK72 =OL72 =OM72 =ON72 =OO72 =OP72 =OQ72 =OR72 =OS72 =OT72 =OU72 =OV72 =OW72 =OX72 =OY72 =OZ72 =PA72 =PB72 =PC72 =PD72 =PE72 =PF72 =PG72 =PH72 =PI72 =PJ72 =PK72 =PL72 =PM72 =PN72 =PO72 =PP72 =PQ72 =PR72 =PS72 =PT72 =PU72 =PV72 =PW72 =PX72 =PY72 =PZ72 =QA72 =QB72 =QC72 =QD72 =QE72 =QF72 =QG72 =QH72 =QI72 =QJ72 =QK72 =QL72 =QM72 =QN72 =QO72 =QP72 =QQ72 =QR72 =QS72 =QT72 =QU72 =QV72 =QW72 =QX72 =QY72 =QZ72 =RA72 =RB72 =RC72 =RD72 =RE72 =RF72 =RG72 =RH72 =RI72 =RJ72 =RK72 =RL72 =RM72 =RN72       </t>
    </r>
  </si>
  <si>
    <r>
      <t>1500</t>
    </r>
    <r>
      <rPr>
        <sz val="8"/>
        <color theme="1"/>
        <rFont val="Arial"/>
        <family val="2"/>
      </rPr>
      <t xml:space="preserve">                      250             23900                 5000   5000 200     111500                                       132000                                           91750                     1500   700             180               125               300                             2000                                     150               12250                                         7500                 3500             700                             45   1099.6                             15000 200                 5500                           5000                                   =32500+1000       25180.9       1250               300   500   1200       750         1620       575     500                         =2227.5+1254                     350               8100                     =+OQ73+OQ75 =+OR73+OR75 990                 900             400                   260       1000                               2200                                                             </t>
    </r>
  </si>
  <si>
    <r>
      <t>=SUM(BK74:BK81)</t>
    </r>
    <r>
      <rPr>
        <sz val="8"/>
        <color theme="1"/>
        <rFont val="Arial"/>
        <family val="2"/>
      </rPr>
      <t xml:space="preserve">=SUM(BL74:BL81) =SUM(BM74:BM81) =SUM(BN74:BN81) =SUM(BO74:BO81) =SUM(BP74:BP81) =SUM(BQ74:BQ81) =SUM(BR74:BR81) =SUM(BS74:BS81) =SUM(BT74:BT81) =SUM(BU74:BU81) =SUM(BV74:BV81) =SUM(BW74:BW81) =SUM(BX74:BX81) =SUM(BY74:BY81) =SUM(BZ74:BZ81) =SUM(CA74:CA81) =SUM(CB74:CB81) =SUM(CC74:CC81) =SUM(CD74:CD81) =SUM(CE74:CE81) =SUM(CF74:CF81) =SUM(CG74:CG81) =SUM(CH74:CH81) =SUM(CI74:CI81) =SUM(CJ74:CJ81) =SUM(CK74:CK81) =SUM(CL74:CL81) =SUM(CM74:CM81) =SUM(CN74:CN81) =SUM(CO74:CO81) =SUM(CP74:CP81) =SUM(CQ74:CQ81) =SUM(CR74:CR81) =SUM(CS74:CS81) =SUM(CT74:CT81) =SUM(CU74:CU81) =SUM(CV74:CV81) =SUM(CW74:CW81) =SUM(CX74:CX81) =SUM(CY74:CY81) =SUM(CZ74:CZ81) =SUM(DA74:DA81) =SUM(DB74:DB81) =SUM(DC74:DC81) =SUM(DD74:DD81) =SUM(DE74:DE81) =SUM(DF74:DF81) =SUM(DG74:DG81) =SUM(DH74:DH81) =SUM(DI74:DI81) =SUM(DJ74:DJ81) =SUM(DK74:DK81) =SUM(DL74:DL81) =SUM(DM74:DM81) =SUM(DN74:DN81) =SUM(DO74:DO81) =SUM(DP74:DP81) =SUM(DQ74:DQ81) =SUM(DR74:DR81) =SUM(DS74:DS81) =SUM(DT74:DT81) =SUM(DU74:DU81) =SUM(DV74:DV81) =SUM(DW74:DW81) =SUM(DX74:DX81) =SUM(DY74:DY81) =SUM(DZ74:DZ81) =SUM(EA74:EA81) =SUM(EB74:EB81) =SUM(EC74:EC81) =SUM(ED74:ED81) =SUM(EE74:EE81) =SUM(EF74:EF81) =SUM(EG74:EG81) =SUM(EH74:EH81) =SUM(EI74:EI81) =SUM(EJ74:EJ81) =SUM(EK74:EK81) =SUM(EL74:EL81) =SUM(EM74:EM81) =SUM(EN74:EN81) =SUM(EO74:EO81) =SUM(EP74:EP81) =SUM(EQ74:EQ81) =SUM(ER74:ER81) =SUM(ES74:ES81) =SUM(ET74:ET81) =SUM(EU74:EU81) =SUM(EV74:EV81) =SUM(EW74:EW81) =SUM(EX74:EX81) =SUM(EY74:EY81) =SUM(EZ74:EZ81) =SUM(FA74:FA81) =SUM(FB74:FB81) =SUM(FC74:FC81) =SUM(FD74:FD81) =SUM(FE74:FE81) =SUM(FF74:FF81) =SUM(FG74:FG81) =SUM(FH74:FH81) =SUM(FI74:FI81) =SUM(FJ74:FJ81) =SUM(FK74:FK81) =SUM(FL74:FL81) =SUM(FM74:FM81) =SUM(FN74:FN81) =SUM(FO74:FO81) =SUM(FP74:FP81) =SUM(FQ74:FQ81) =SUM(FR74:FR81) =SUM(FS74:FS81) =SUM(FT74:FT81) =SUM(FU74:FU81) =SUM(FV74:FV81) =SUM(FW74:FW81) =SUM(FX74:FX81) =SUM(FY74:FY81) =SUM(FZ74:FZ81) =SUM(GA74:GA81) =SUM(GB74:GB81) =SUM(GC74:GC81) =SUM(GD74:GD81) =SUM(GE74:GE81) =SUM(GF74:GF81) =SUM(GG74:GG81) =SUM(GH74:GH81) =SUM(GI74:GI81) =SUM(GJ74:GJ81) =SUM(GK74:GK81) =SUM(GL74:GL81) =SUM(GM74:GM81) =SUM(GN74:GN81) =SUM(GO74:GO81) =SUM(GP74:GP81) =SUM(GQ74:GQ81) =SUM(GR74:GR81) =SUM(GS74:GS81) =SUM(GT74:GT81) =SUM(GU74:GU81) =SUM(GV74:GV81) =SUM(GW74:GW81) =SUM(GX74:GX81) =SUM(GY74:GY81) =SUM(GZ74:GZ81) =SUM(HA74:HA81) =SUM(HB74:HB81) =SUM(HC74:HC81) =SUM(HD74:HD81) =SUM(HE74:HE81) =SUM(HF74:HF81) =SUM(HG74:HG81) =SUM(HH74:HH81) =SUM(HI74:HI81) =SUM(HJ74:HJ81) =SUM(HK74:HK81) =SUM(HL74:HL81) =SUM(HM74:HM81) =SUM(HN74:HN81) =SUM(HO74:HO81) =SUM(HP74:HP81) =SUM(HQ74:HQ81) =SUM(HR74:HR81) =SUM(HS74:HS81) =SUM(HT74:HT81) =SUM(HU74:HU81) =SUM(HV74:HV81) =SUM(HW74:HW81) =SUM(HX74:HX81) =SUM(HY74:HY81) =SUM(HZ74:HZ81) =SUM(IA74:IA81) =SUM(IB74:IB81) =SUM(IC74:IC81) =SUM(ID74:ID81) =SUM(IE74:IE81) =SUM(IF74:IF81) =SUM(IG74:IG81) =SUM(IH74:IH81) =SUM(II74:II81) =SUM(IJ74:IJ81) =SUM(IK74:IK81) =SUM(IL74:IL81) =SUM(IM74:IM81) =SUM(IN74:IN81) =SUM(IO74:IO81) =SUM(IP74:IP81) =SUM(IQ74:IQ81) =SUM(IR74:IR81) =SUM(IS74:IS81) =SUM(IT74:IT81) =SUM(IU74:IU81) =SUM(IV74:IV81) =SUM(IW74:IW81) =SUM(IX74:IX81) =SUM(IY74:IY81) =SUM(IZ74:IZ81) =SUM(JA74:JA81) =SUM(JB74:JB81) =SUM(JC74:JC81) =SUM(JD74:JD81) =SUM(JE74:JE81) =SUM(JF74:JF81) =SUM(JG74:JG81) =SUM(JH74:JH81) =SUM(JI74:JI81) =SUM(JJ74:JJ81) =SUM(JK74:JK81) =SUM(JL74:JL81) =SUM(JM74:JM81) =SUM(JN74:JN81) =SUM(JO74:JO81) =SUM(JP74:JP81) =SUM(JQ74:JQ81) =SUM(JR74:JR81) =SUM(JS74:JS81) =SUM(JT74:JT81) =SUM(JU74:JU81) =SUM(JV74:JV81) =SUM(JW74:JW81) =SUM(JX74:JX81) =SUM(JY74:JY81) =SUM(JZ74:JZ81) =SUM(KA74:KA81) =SUM(KB74:KB81) =SUM(KC74:KC81) =SUM(KD74:KD81) =SUM(KE74:KE81) =SUM(KF74:KF81) =SUM(KG74:KG81) =SUM(KH74:KH81) =SUM(KI74:KI81) =SUM(KJ74:KJ81) =SUM(KK74:KK81) =SUM(KL74:KL81) =SUM(KM74:KM81) =SUM(KN74:KN81) =SUM(KO74:KO81) =SUM(KP74:KP81) =SUM(KQ74:KQ81) =SUM(KR74:KR81) =SUM(KS74:KS81) =SUM(KT74:KT81) =SUM(KU74:KU81) =SUM(KV74:KV81) =SUM(KW74:KW81) =SUM(KX74:KX81) =SUM(KY74:KY81) =SUM(KZ74:KZ81) =SUM(LA74:LA81) =SUM(LB74:LB81) =SUM(LC74:LC81) =SUM(LD74:LD81) =SUM(LE74:LE81) =SUM(LF74:LF81) =SUM(LG74:LG81) =SUM(LH74:LH81) =SUM(LI74:LI81) =SUM(LJ74:LJ81) =SUM(LK74:LK81) =SUM(LL74:LL81) =SUM(LM74:LM81) =SUM(LN74:LN81) =SUM(LO74:LO81) =SUM(LP74:LP81) =SUM(LQ74:LQ81) =SUM(LR74:LR81) =SUM(LS74:LS81) =SUM(LT74:LT81) =SUM(LU74:LU81) =SUM(LV74:LV81) =SUM(LW74:LW81) =SUM(LX74:LX81) =SUM(LY74:LY81) =SUM(LZ74:LZ81) =SUM(MA74:MA81) =SUM(MB74:MB81) =SUM(MC74:MC81) =SUM(MD74:MD81) =SUM(ME74:ME81) =SUM(MF74:MF81) =SUM(MG74:MG81) =SUM(MH74:MH81) =SUM(MI74:MI81) =SUM(MJ74:MJ81) =SUM(MK74:MK81) =SUM(ML74:ML81) =SUM(MM74:MM81) =SUM(MN74:MN81) =SUM(MO74:MO81) =SUM(MP74:MP81) =SUM(MQ74:MQ81) =SUM(MR74:MR81) =SUM(MS74:MS81) =SUM(MT74:MT81) =SUM(MU74:MU81) =SUM(MV74:MV81) =SUM(MW74:MW81) =SUM(MX74:MX81) =SUM(MY74:MY81) =SUM(MZ74:MZ81) =SUM(NA74:NA81) =SUM(NB74:NB81) =SUM(NC74:NC81) =SUM(ND74:ND81) =SUM(NE74:NE81) =SUM(NF74:NF81) =SUM(NG74:NG81) =SUM(NH74:NH81) =SUM(NI74:NI81) =SUM(NJ74:NJ81) =SUM(NK74:NK81) =SUM(NL74:NL81) =SUM(NM74:NM81) =SUM(NN74:NN81) =SUM(NO74:NO81) =SUM(NP74:NP81) =SUM(NQ74:NQ81) =SUM(NR74:NR81) =SUM(NS74:NS81) =SUM(NT74:NT81) =SUM(NU74:NU81) =SUM(NV74:NV81) =SUM(NW74:NW81) =SUM(NX74:NX81) =SUM(NY74:NY81) =SUM(NZ74:NZ81) =SUM(OA74:OA81) =SUM(OB74:OB81) =SUM(OC74:OC81) =SUM(OD74:OD81) =SUM(OE74:OE81) =SUM(OF74:OF81) =SUM(OG74:OG81) =SUM(OH74:OH81) =SUM(OI74:OI81) =SUM(OJ74:OJ81) =SUM(OK74:OK81) =SUM(OL74:OL81) =SUM(OM74:OM81) =SUM(ON74:ON81) =SUM(OO74:OO81) =SUM(OP74:OP81) =SUM(OQ74:OQ81) =SUM(OR74:OR81) =SUM(OS74:OS81) =SUM(OT74:OT81) =SUM(OU74:OU81) =SUM(OV74:OV81) =SUM(OW74:OW81) =SUM(OX74:OX81) =SUM(OY74:OY81) =SUM(OZ74:OZ81) =SUM(PA74:PA81) =SUM(PB74:PB81) =SUM(PC74:PC81) =SUM(PD74:PD81) =SUM(PE74:PE81) =SUM(PF74:PF81) =SUM(PG74:PG81) =SUM(PH74:PH81) =SUM(PI74:PI81) =SUM(PJ74:PJ81) =SUM(PK74:PK81) =SUM(PL74:PL81) =SUM(PM74:PM81) =SUM(PN74:PN81) =SUM(PO74:PO81) =SUM(PP74:PP81) =SUM(PQ74:PQ81) =SUM(PR74:PR81) =SUM(PS74:PS81) =SUM(PT74:PT81) =SUM(PU74:PU81) =SUM(PV74:PV81) =SUM(PW74:PW81) =SUM(PX74:PX81) =SUM(PY74:PY81) =SUM(PZ74:PZ81) =SUM(QA74:QA81) =SUM(QB74:QB81) =SUM(QC74:QC81) =SUM(QD74:QD81) =SUM(QE74:QE81) =SUM(QF74:QF81) =SUM(QG74:QG81) =SUM(QH74:QH81) =SUM(QI74:QI81) =SUM(QJ74:QJ81) =SUM(QK74:QK81) =SUM(QL74:QL81) =SUM(QM74:QM81) =SUM(QN74:QN81) =SUM(QO74:QO81) =SUM(QP74:QP81) =SUM(QQ74:QQ81) =SUM(QR74:QR81) =SUM(QS74:QS81) =SUM(QT74:QT81) =SUM(QU74:QU81) =SUM(QV74:QV81) =SUM(QW74:QW81) =SUM(QX74:QX81) =SUM(QY74:QY81) =SUM(QZ74:QZ81) =SUM(RA74:RA81) =SUM(RB74:RB81) =SUM(RC74:RC81) =SUM(RD74:RD81) =SUM(RE74:RE81) =SUM(RF74:RF81) =SUM(RG74:RG81) =SUM(RH74:RH81) =SUM(RI74:RI81) =SUM(RJ74:RJ81) =SUM(RK74:RK81) =SUM(RL74:RL81) =SUM(RM74:RM81) =SUM(RN74:RN81)       </t>
    </r>
  </si>
  <si>
    <r>
      <t> </t>
    </r>
    <r>
      <rPr>
        <sz val="8"/>
        <color theme="1"/>
        <rFont val="Arial"/>
        <family val="2"/>
      </rPr>
      <t xml:space="preserve">                                    750                                                                         1000                                                                                                                                                                                                                                                                                                                                                                                                                                                                                                                                                                                                                                                                                                                                                             </t>
    </r>
  </si>
  <si>
    <r>
      <t> </t>
    </r>
    <r>
      <rPr>
        <sz val="8"/>
        <color theme="1"/>
        <rFont val="Arial"/>
        <family val="2"/>
      </rPr>
      <t xml:space="preserve">                                                            50000     34970.7                                                                                                                                               2000                                                                                                                                                                                                                                                             16219.1                           6000                                                   1250                                                                                   1000   2000                     10000                     622.9             1686.9             6000                                             3800                                                                                             </t>
    </r>
  </si>
  <si>
    <r>
      <t> </t>
    </r>
    <r>
      <rPr>
        <sz val="8"/>
        <color theme="1"/>
        <rFont val="Arial"/>
        <family val="2"/>
      </rPr>
      <t xml:space="preserve">                                                                                                                                                                                                                                                                                                                                                                                                                                                                                319535.4                                                                           46000                                                                                                                                                                                                                                                                                                               </t>
    </r>
  </si>
  <si>
    <r>
      <t> </t>
    </r>
    <r>
      <rPr>
        <sz val="8"/>
        <color theme="1"/>
        <rFont val="Arial"/>
        <family val="2"/>
      </rPr>
      <t xml:space="preserve">                            9300     23500   500           1000               150405.1                                       35000                 118008.8           60000                             320         1500                       10009.3         1000                                                                                       2500                                                 10798           38650     7660                                                   2000                   3000       5835.1                 294959.5               24515           =1000+3000+3000+400+600+20000+1000+600+1500+200       1000                             900       300     3000           900   1000             5000           2000         2000       1000                     10000     1000                     5000   1118                 1155             1500 11000               1802.5               3000                         =1000+2300+500+500           300 1600           7500     7000     3000             1650   2700                                     </t>
    </r>
  </si>
  <si>
    <r>
      <t> </t>
    </r>
    <r>
      <rPr>
        <sz val="8"/>
        <color theme="1"/>
        <rFont val="Arial"/>
        <family val="2"/>
      </rPr>
      <t xml:space="preserve">                                                                  31226.4                                                                                                   4630.8                                 13900                                                                                                                                                                     14620                                                                                                 206031.6               20600                                                           41150                                                       16243.1                               500                                                               3000       1000                       6614.5                                                   31300   9000                                                               </t>
    </r>
  </si>
  <si>
    <r>
      <t>=SUM(BK81:BK92)</t>
    </r>
    <r>
      <rPr>
        <sz val="8"/>
        <color theme="1"/>
        <rFont val="Arial"/>
        <family val="2"/>
      </rPr>
      <t xml:space="preserve">=SUM(BL81:BL92) =SUM(BM81:BM92) =SUM(BN81:BN92) =SUM(BO81:BO92) =SUM(BP81:BP92) =SUM(BQ81:BQ92) =SUM(BR81:BR92) =SUM(BS81:BS92) =SUM(BT81:BT92) =SUM(BU81:BU92) =SUM(BV81:BV92) =SUM(BW81:BW92) =SUM(BX81:BX92) =SUM(BY81:BY92) =SUM(BZ81:BZ92) =SUM(CA81:CA92) =SUM(CB81:CB92) =SUM(CC81:CC92) =SUM(CD81:CD92) =SUM(CE81:CE92) =SUM(CF81:CF92) =SUM(CG81:CG92) =SUM(CH81:CH92) =SUM(CI81:CI92) =SUM(CJ81:CJ92) =SUM(CK81:CK92) =SUM(CL81:CL92) =SUM(CM81:CM92) =SUM(CN81:CN92) =SUM(CO81:CO92) =SUM(CP81:CP92) =SUM(CQ81:CQ92) =SUM(CR81:CR92) =SUM(CS81:CS92)           =SUM(CY81:CY92)             =SUM(DF81:DF92) =SUM(DG81:DG92)         =SUM(DL81:DL92) =SUM(DM81:DM92) =SUM(DN81:DN92) =SUM(DO81:DO92)                               =SUM(EE81:EE92)       =SUM(EI81:EI92) =SUM(EJ81:EJ92) =SUM(EK81:EK92) =SUM(EL81:EL92) =SUM(EM81:EM92) =SUM(EN81:EN92) =SUM(EO81:EO92) =SUM(EP81:EP92) =SUM(EQ81:EQ92) =SUM(ER81:ER92) =SUM(ES81:ES92) =SUM(ET81:ET92)   =SUM(EV81:EV92) =SUM(EW81:EW92) =SUM(EX81:EX92) =SUM(EY81:EY92) =SUM(EZ81:EZ92) =SUM(FA81:FA92) =SUM(FB81:FB92) =SUM(FC81:FC92) =SUM(FD81:FD92) =SUM(FE81:FE92) =SUM(FF81:FF92) =SUM(FG81:FG92) =SUM(FH81:FH92) =SUM(FI81:FI92) =SUM(FJ81:FJ92) =SUM(FK81:FK92) =SUM(FL81:FL92) =SUM(FM81:FM92) =SUM(FN81:FN92) =SUM(FO81:FO92) =SUM(FP81:FP92) =SUM(FQ81:FQ92) =SUM(FR81:FR92) =SUM(FS81:FS92) =SUM(FT81:FT92) =SUM(FU81:FU92) =SUM(FV81:FV92) =SUM(FW81:FW92) =SUM(FX81:FX92) =SUM(FY81:FY92) =SUM(FZ81:FZ92) =SUM(GA81:GA92)   =SUM(GC81:GC92) =SUM(GD81:GD92)           =SUM(GJ81:GJ92) =SUM(GK81:GK92) =SUM(GL81:GL92) =SUM(GM81:GM92)           =SUM(GS81:GS92) =SUM(GT81:GT92) =SUM(GU81:GU92) =SUM(GV81:GV92) =SUM(GW81:GW92) =SUM(GX81:GX92) =SUM(GY81:GY92) =SUM(GZ81:GZ92) =SUM(HA81:HA92) =SUM(HB81:HB92)     =SUM(HE81:HE92) =SUM(HF81:HF92) =SUM(HG81:HG92) =SUM(HH81:HH92) =SUM(HI81:HI92) =SUM(HJ81:HJ92) =SUM(HK81:HK92) =SUM(HL81:HL92)                     =SUM(HW81:HW92)     =SUM(HZ81:HZ92) =SUM(IA81:IA92) =SUM(IB81:IB92) =SUM(IC81:IC92) =SUM(ID81:ID92) =SUM(IE81:IE92) =SUM(IF81:IF92) =SUM(IG81:IG92) =SUM(IH81:IH92) =SUM(II81:II92) =SUM(IJ81:IJ92) =SUM(IK81:IK92) =SUM(IL81:IL92) =SUM(IM81:IM92) =SUM(IN81:IN92) =SUM(IO81:IO92) =SUM(IP81:IP92) =SUM(IQ81:IQ92) =SUM(IR81:IR92) =SUM(IS81:IS92) =SUM(IT81:IT92) =SUM(IU81:IU92) =SUM(IV81:IV92) =SUM(IW81:IW92) =SUM(IX81:IX92) =SUM(IY81:IY92) =SUM(IZ81:IZ92) =SUM(JA81:JA92) =SUM(JB81:JB92) =SUM(JC81:JC92)             =SUM(JJ81:JJ92)     =SUM(JM81:JM92) =SUM(JN81:JN92)                       =SUM(JZ81:JZ92) =SUM(KA81:KA92)           =SUM(KG81:KG92) =SUM(KH81:KH92) =SUM(KI81:KI92) =SUM(KJ81:KJ92) =SUM(KK81:KK92) =SUM(KL81:KL92) =SUM(KM81:KM92) =SUM(KN81:KN92) =SUM(KO81:KO92) =SUM(KP81:KP92) =SUM(KQ81:KQ92) =SUM(KR81:KR92) =SUM(KS81:KS92) =SUM(KT81:KT92) =SUM(KU81:KU92) =SUM(KV81:KV92) =SUM(KW81:KW92) =SUM(KX81:KX92) =SUM(KY81:KY92) =SUM(KZ81:KZ92) =SUM(LA81:LA92) =SUM(LB81:LB92)                                   =SUM(LT81:LT92) =SUM(LU81:LU92)       =SUM(LY81:LY92) =SUM(LZ81:LZ92) =SUM(MA81:MA92) =SUM(MB81:MB92) =SUM(MC81:MC92) =SUM(MD81:MD92) =SUM(ME81:ME92) =SUM(MF81:MF92) =SUM(MG81:MG92) =SUM(MH81:MH92) =SUM(MI81:MI92) =SUM(MJ81:MJ92) =SUM(MK81:MK92) =SUM(ML81:ML92) =SUM(MM81:MM92) =SUM(MN81:MN92) =SUM(MO81:MO92) =SUM(MP81:MP92) =SUM(MQ81:MQ92) =SUM(MR81:MR92) =SUM(MS81:MS92) =SUM(MT81:MT92) =SUM(MU81:MU92) =SUM(MV81:MV92) =SUM(MW81:MW92) =SUM(MX81:MX92) =SUM(MY81:MY92) =SUM(MZ81:MZ92) =SUM(NA81:NA92) =SUM(NB81:NB92)         =SUM(NG81:NG92) =SUM(NH81:NH92) =SUM(NI81:NI92) =SUM(NJ81:NJ92) =SUM(NK81:NK92) =SUM(NL81:NL92) =SUM(NM81:NM92) =SUM(NN81:NN92) =SUM(NO81:NO92) =SUM(NP81:NP92) =SUM(NQ81:NQ92)         =SUM(NV81:NV92) =SUM(NW81:NW92) =SUM(NX81:NX92) =SUM(NY81:NY92) =SUM(NZ81:NZ92) =SUM(OA81:OA92)     =SUM(OD81:OD92) =SUM(OE81:OE92) =SUM(OF81:OF92) =SUM(OG81:OG92) =SUM(OH81:OH92) =SUM(OI81:OI92) =SUM(OJ81:OJ92) =SUM(OK81:OK92)   =SUM(OM81:OM92) =SUM(ON81:ON92) =SUM(OO81:OO92) =SUM(OP81:OP92)   =SUM(OR81:OR92) =SUM(OS81:OS92) =SUM(OT81:OT92) =SUM(OU81:OU92) =SUM(OV81:OV92) =SUM(OW81:OW92) =SUM(OX81:OX92) =SUM(OY81:OY92) =SUM(OZ81:OZ92) =SUM(PA81:PA92) =SUM(PB81:PB92) =SUM(PC81:PC92) =SUM(PD81:PD92) =SUM(PE81:PE92) =SUM(PF81:PF92) =SUM(PG81:PG92) =SUM(PH81:PH92) =SUM(PI81:PI92) =SUM(PJ81:PJ92) =SUM(PK81:PK92) =SUM(PL81:PL92) =SUM(PM81:PM92) =SUM(PN81:PN92) =SUM(PO81:PO92) =SUM(PP81:PP92) =SUM(PQ81:PQ92) =SUM(PR81:PR92) =SUM(PS81:PS92) =SUM(PT81:PT92) =SUM(PU81:PU92) =SUM(PV81:PV92) =SUM(PW81:PW92) =SUM(PX81:PX92) =SUM(PY81:PY92) =SUM(PZ81:PZ92) =SUM(QA81:QA92) =SUM(QB81:QB92) =SUM(QC81:QC92) =SUM(QD81:QD92) =SUM(QE81:QE92) =SUM(QF81:QF92) =SUM(QG81:QG92) =SUM(QH81:QH92) =SUM(QI81:QI92) =SUM(QJ81:QJ92) =SUM(QK81:QK92) =SUM(QL81:QL92) =SUM(QM81:QM92)           =SUM(QS81:QS92) =SUM(QT81:QT92) =SUM(QU81:QU92) =SUM(QV81:QV92) =SUM(QW81:QW92) =SUM(QX81:QX92) =SUM(QY81:QY92) =SUM(QZ81:QZ92) =SUM(RA81:RA92) =SUM(RB81:RB92) =SUM(RC81:RC92) =SUM(RD81:RD92) =SUM(RE81:RE92) =SUM(RF81:RF92)   =SUM(RH81:RH92) =SUM(RI81:RI92) =SUM(RJ81:RJ92) =SUM(RK81:RK92) =SUM(RL81:RL92) =SUM(RM81:RM92) =SUM(RN81:RN92)       </t>
    </r>
  </si>
  <si>
    <r>
      <t> </t>
    </r>
    <r>
      <rPr>
        <sz val="8"/>
        <color theme="1"/>
        <rFont val="Arial"/>
        <family val="2"/>
      </rPr>
      <t xml:space="preserve">                                                                                                                                                                                                                                                                                                                                                                                                                                                                                                                                                                                                                                                                                                    300                                                                                                                                                                       </t>
    </r>
  </si>
  <si>
    <r>
      <t> </t>
    </r>
    <r>
      <rPr>
        <sz val="8"/>
        <color theme="1"/>
        <rFont val="Arial"/>
        <family val="2"/>
      </rPr>
      <t xml:space="preserve">                                                                                                                                                                                                                                                                                                                                                                                                                                                                                                                                                                                                                                                                                                    25                                                                                                                                                                       </t>
    </r>
  </si>
  <si>
    <r>
      <t> </t>
    </r>
    <r>
      <rPr>
        <sz val="8"/>
        <color theme="1"/>
        <rFont val="Arial"/>
        <family val="2"/>
      </rPr>
      <t xml:space="preserve">                                                                                                                                                                                                                                                                                                                                                                                                                                                                                                                                                                                                                                                                                                                                                                                                                    2000                                                       </t>
    </r>
  </si>
  <si>
    <t>Жи Эл Ди Ви</t>
  </si>
  <si>
    <t>Баяжмал алт</t>
  </si>
  <si>
    <t>Баян Жонш</t>
  </si>
  <si>
    <t>Их хөвчийн жонон</t>
  </si>
  <si>
    <t>Төгрөг нуурын энержи</t>
  </si>
  <si>
    <t>өмний их тал</t>
  </si>
  <si>
    <t>Мөнх саяан</t>
  </si>
  <si>
    <t>Хөх хархираа</t>
  </si>
  <si>
    <t>Ариун өрнөх</t>
  </si>
  <si>
    <t>Чинтөгс</t>
  </si>
  <si>
    <t>Бат-Алт төв</t>
  </si>
  <si>
    <t>Болд төмөр ерөө гол</t>
  </si>
  <si>
    <t>өрмөн-Уул</t>
  </si>
  <si>
    <t>Таац мөрөн</t>
  </si>
  <si>
    <t>Ричмөнх</t>
  </si>
  <si>
    <t>Их-өвөлжөө</t>
  </si>
  <si>
    <t>Мөнх майнинг</t>
  </si>
  <si>
    <t>Төсөлч</t>
  </si>
  <si>
    <t>Чингэл бөөн цагаан</t>
  </si>
  <si>
    <t>Төв Азийн уран</t>
  </si>
  <si>
    <t>Эрдэнийн хөгжил</t>
  </si>
  <si>
    <t>Хүрзэт</t>
  </si>
  <si>
    <t>Эрвэн хүдэр</t>
  </si>
  <si>
    <t>Кёкүшю монгол холдинг</t>
  </si>
  <si>
    <t>Таван шүтээн трейд</t>
  </si>
  <si>
    <t>Түшиг- Индустраль</t>
  </si>
  <si>
    <t>үүрт гоулд</t>
  </si>
  <si>
    <t>Энгүй тал</t>
  </si>
  <si>
    <t>өүякуаней</t>
  </si>
  <si>
    <t>Алтай хангай бүрд</t>
  </si>
  <si>
    <t>Түмэн-Анд</t>
  </si>
  <si>
    <t>Тэнүүн байгаль</t>
  </si>
  <si>
    <t>Корет илч хүч</t>
  </si>
  <si>
    <t>Амирлангүй үжин</t>
  </si>
  <si>
    <t>Сүйхэнт</t>
  </si>
  <si>
    <t>Хүслэмж</t>
  </si>
  <si>
    <t>Зүрийн булан</t>
  </si>
  <si>
    <t>Түвшин гарав</t>
  </si>
  <si>
    <t>Сити Сүлжээ</t>
  </si>
  <si>
    <t>Зүбгол</t>
  </si>
  <si>
    <t>Дархан эрдэнэ бүрэн</t>
  </si>
  <si>
    <t>Гүнбилэг гоулд</t>
  </si>
  <si>
    <t>ТөүГ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</si>
</sst>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29" x14ac:knownFonts="1">
    <font>
      <sz val="11"/>
      <color theme="1"/>
      <name val="Calibri"/>
      <family val="2"/>
      <scheme val="minor"/>
    </font>
    <font>
      <sz val="11"/>
      <color theme="1"/>
      <name val="Calibri"/>
      <family val="2"/>
      <scheme val="minor"/>
    </font>
    <font>
      <sz val="11"/>
      <color rgb="FF006100"/>
      <name val="Calibri"/>
      <family val="2"/>
      <scheme val="minor"/>
    </font>
    <font>
      <sz val="11"/>
      <color theme="0"/>
      <name val="Calibri"/>
      <family val="2"/>
      <scheme val="minor"/>
    </font>
    <font>
      <sz val="8"/>
      <color theme="1"/>
      <name val="Arial"/>
      <family val="2"/>
      <charset val="204"/>
    </font>
    <font>
      <b/>
      <sz val="8"/>
      <name val="Arial"/>
      <family val="2"/>
      <charset val="204"/>
    </font>
    <font>
      <sz val="8"/>
      <name val="Arial"/>
      <family val="2"/>
      <charset val="204"/>
    </font>
    <font>
      <sz val="8"/>
      <color rgb="FF006100"/>
      <name val="Arial"/>
      <family val="2"/>
      <charset val="204"/>
    </font>
    <font>
      <sz val="8"/>
      <color theme="1"/>
      <name val="Times New Roman"/>
      <family val="1"/>
      <charset val="204"/>
    </font>
    <font>
      <sz val="8"/>
      <color theme="1"/>
      <name val="Calibri"/>
      <family val="2"/>
      <scheme val="minor"/>
    </font>
    <font>
      <sz val="8"/>
      <color theme="0"/>
      <name val="Arial"/>
      <family val="2"/>
      <charset val="204"/>
    </font>
    <font>
      <b/>
      <sz val="8"/>
      <name val="Times New Roman"/>
      <family val="1"/>
      <charset val="204"/>
    </font>
    <font>
      <b/>
      <sz val="8"/>
      <color theme="1"/>
      <name val="Arial"/>
      <family val="2"/>
      <charset val="204"/>
    </font>
    <font>
      <b/>
      <sz val="8"/>
      <color theme="1"/>
      <name val="Times New Roman"/>
      <family val="1"/>
      <charset val="204"/>
    </font>
    <font>
      <sz val="8"/>
      <color theme="1"/>
      <name val="Arial Mon"/>
      <family val="2"/>
    </font>
    <font>
      <b/>
      <sz val="8"/>
      <color theme="1"/>
      <name val="Arial Mon"/>
      <family val="2"/>
    </font>
    <font>
      <sz val="10"/>
      <color theme="1"/>
      <name val="Arial Mon"/>
      <family val="2"/>
    </font>
    <font>
      <sz val="8"/>
      <color theme="1"/>
      <name val="Arial"/>
      <family val="2"/>
    </font>
    <font>
      <b/>
      <sz val="10"/>
      <color theme="1"/>
      <name val="Arial"/>
      <family val="2"/>
    </font>
    <font>
      <sz val="11"/>
      <color theme="1"/>
      <name val="Calibri"/>
      <family val="2"/>
    </font>
    <font>
      <b/>
      <sz val="8"/>
      <color theme="1"/>
      <name val="Arial"/>
      <family val="2"/>
    </font>
    <font>
      <sz val="8"/>
      <color rgb="FF000000"/>
      <name val="Arial"/>
      <family val="2"/>
    </font>
    <font>
      <sz val="11"/>
      <color theme="1"/>
      <name val="Arial"/>
      <family val="2"/>
    </font>
    <font>
      <b/>
      <sz val="8"/>
      <color rgb="FF000000"/>
      <name val="Arial"/>
      <family val="2"/>
    </font>
    <font>
      <b/>
      <sz val="8"/>
      <color rgb="FF9C0006"/>
      <name val="Arial"/>
      <family val="2"/>
    </font>
    <font>
      <sz val="10"/>
      <color rgb="FF000000"/>
      <name val="Arial"/>
      <family val="2"/>
    </font>
    <font>
      <sz val="8"/>
      <color rgb="FF006100"/>
      <name val="Arial"/>
      <family val="2"/>
    </font>
    <font>
      <b/>
      <sz val="8"/>
      <name val="Arial"/>
      <family val="2"/>
    </font>
    <font>
      <sz val="8"/>
      <name val="Arial"/>
      <family val="2"/>
    </font>
  </fonts>
  <fills count="11">
    <fill>
      <patternFill patternType="none"/>
    </fill>
    <fill>
      <patternFill patternType="gray125"/>
    </fill>
    <fill>
      <patternFill patternType="solid">
        <fgColor rgb="FFC6EFCE"/>
      </patternFill>
    </fill>
    <fill>
      <patternFill patternType="solid">
        <fgColor theme="5" tint="0.79998168889431442"/>
        <bgColor indexed="65"/>
      </patternFill>
    </fill>
    <fill>
      <patternFill patternType="solid">
        <fgColor theme="5" tint="0.39997558519241921"/>
        <bgColor indexed="65"/>
      </patternFill>
    </fill>
    <fill>
      <patternFill patternType="solid">
        <fgColor theme="8"/>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213">
    <xf numFmtId="0" fontId="0" fillId="0" borderId="0" xfId="0"/>
    <xf numFmtId="0" fontId="4" fillId="8" borderId="0" xfId="0" applyFont="1" applyFill="1" applyAlignment="1">
      <alignment vertical="center"/>
    </xf>
    <xf numFmtId="0" fontId="4" fillId="8" borderId="0" xfId="0" applyFont="1" applyFill="1" applyAlignment="1">
      <alignment horizontal="center" vertical="center"/>
    </xf>
    <xf numFmtId="165" fontId="12" fillId="8" borderId="0" xfId="1" applyNumberFormat="1" applyFont="1" applyFill="1" applyAlignment="1">
      <alignment vertical="center"/>
    </xf>
    <xf numFmtId="165" fontId="4" fillId="8" borderId="0" xfId="1" applyNumberFormat="1" applyFont="1" applyFill="1" applyAlignment="1">
      <alignment vertical="center"/>
    </xf>
    <xf numFmtId="165" fontId="4" fillId="8" borderId="0" xfId="1" applyNumberFormat="1" applyFont="1" applyFill="1" applyBorder="1" applyAlignment="1">
      <alignment vertical="center"/>
    </xf>
    <xf numFmtId="165" fontId="6" fillId="8" borderId="0" xfId="1" applyNumberFormat="1" applyFont="1" applyFill="1" applyBorder="1" applyAlignment="1">
      <alignment vertical="center"/>
    </xf>
    <xf numFmtId="0" fontId="4" fillId="8" borderId="0" xfId="0" applyFont="1" applyFill="1" applyBorder="1" applyAlignment="1">
      <alignment vertical="center"/>
    </xf>
    <xf numFmtId="0" fontId="4" fillId="8" borderId="0" xfId="0" applyFont="1" applyFill="1" applyBorder="1" applyAlignment="1">
      <alignment horizontal="center" vertical="center"/>
    </xf>
    <xf numFmtId="164" fontId="4" fillId="8" borderId="0" xfId="1" applyFont="1" applyFill="1" applyBorder="1" applyAlignment="1">
      <alignment vertical="top"/>
    </xf>
    <xf numFmtId="0" fontId="7" fillId="8" borderId="0" xfId="2" applyFont="1" applyFill="1" applyBorder="1" applyAlignment="1">
      <alignment vertical="center"/>
    </xf>
    <xf numFmtId="164" fontId="4" fillId="8" borderId="0" xfId="1" applyFont="1" applyFill="1" applyBorder="1" applyAlignment="1">
      <alignment vertical="center"/>
    </xf>
    <xf numFmtId="0" fontId="8" fillId="8" borderId="0" xfId="0" applyFont="1" applyFill="1" applyBorder="1" applyAlignment="1">
      <alignment vertical="center"/>
    </xf>
    <xf numFmtId="0" fontId="8" fillId="0" borderId="0" xfId="0" applyFont="1" applyBorder="1" applyAlignment="1">
      <alignment vertical="center"/>
    </xf>
    <xf numFmtId="165" fontId="5" fillId="8" borderId="0" xfId="1" applyNumberFormat="1" applyFont="1" applyFill="1" applyBorder="1" applyAlignment="1">
      <alignment vertical="center"/>
    </xf>
    <xf numFmtId="165" fontId="11" fillId="8" borderId="0" xfId="1" applyNumberFormat="1" applyFont="1" applyFill="1" applyBorder="1" applyAlignment="1">
      <alignment vertical="center"/>
    </xf>
    <xf numFmtId="165" fontId="12" fillId="8" borderId="0" xfId="1" applyNumberFormat="1" applyFont="1" applyFill="1" applyBorder="1" applyAlignment="1">
      <alignment vertical="center"/>
    </xf>
    <xf numFmtId="165" fontId="13" fillId="8" borderId="0" xfId="1" applyNumberFormat="1" applyFont="1" applyFill="1" applyBorder="1" applyAlignment="1">
      <alignment vertical="center"/>
    </xf>
    <xf numFmtId="165" fontId="8" fillId="8" borderId="0" xfId="1" applyNumberFormat="1" applyFont="1" applyFill="1" applyBorder="1" applyAlignment="1">
      <alignment vertical="center"/>
    </xf>
    <xf numFmtId="165" fontId="8" fillId="0" borderId="0" xfId="1" applyNumberFormat="1" applyFont="1" applyBorder="1" applyAlignment="1">
      <alignment vertical="center"/>
    </xf>
    <xf numFmtId="165" fontId="11" fillId="0" borderId="0" xfId="1" applyNumberFormat="1" applyFont="1" applyBorder="1" applyAlignment="1">
      <alignment vertical="center"/>
    </xf>
    <xf numFmtId="165" fontId="11" fillId="9" borderId="0" xfId="1" applyNumberFormat="1" applyFont="1" applyFill="1" applyBorder="1" applyAlignment="1">
      <alignment vertical="center"/>
    </xf>
    <xf numFmtId="0" fontId="4" fillId="8" borderId="0" xfId="0" applyFont="1" applyFill="1" applyAlignment="1"/>
    <xf numFmtId="0" fontId="7" fillId="8" borderId="0" xfId="2" applyFont="1" applyFill="1" applyBorder="1" applyAlignment="1">
      <alignment horizontal="center" vertical="center"/>
    </xf>
    <xf numFmtId="0" fontId="4" fillId="8" borderId="0" xfId="4" applyFont="1" applyFill="1" applyBorder="1" applyAlignment="1">
      <alignment horizontal="center" vertical="center"/>
    </xf>
    <xf numFmtId="0" fontId="4" fillId="8" borderId="0" xfId="5" applyFont="1" applyFill="1" applyBorder="1" applyAlignment="1">
      <alignment horizontal="center" vertical="center"/>
    </xf>
    <xf numFmtId="0" fontId="4" fillId="8" borderId="0" xfId="3" applyFont="1" applyFill="1" applyBorder="1" applyAlignment="1">
      <alignment horizontal="center" vertical="center"/>
    </xf>
    <xf numFmtId="0" fontId="4" fillId="8" borderId="0" xfId="6" applyFont="1" applyFill="1" applyBorder="1" applyAlignment="1">
      <alignment horizontal="center" vertical="center"/>
    </xf>
    <xf numFmtId="0" fontId="4" fillId="8" borderId="0" xfId="7" applyFont="1" applyFill="1" applyBorder="1" applyAlignment="1">
      <alignment horizontal="center" vertical="center"/>
    </xf>
    <xf numFmtId="0" fontId="8" fillId="8" borderId="0" xfId="0" applyFont="1" applyFill="1" applyBorder="1" applyAlignment="1">
      <alignment horizontal="center" vertical="center"/>
    </xf>
    <xf numFmtId="0" fontId="4" fillId="8" borderId="0" xfId="1" applyNumberFormat="1" applyFont="1" applyFill="1" applyBorder="1" applyAlignment="1"/>
    <xf numFmtId="0" fontId="8" fillId="0" borderId="0" xfId="0" applyFont="1" applyBorder="1" applyAlignment="1">
      <alignment horizontal="center" vertical="center"/>
    </xf>
    <xf numFmtId="0" fontId="4" fillId="8" borderId="0" xfId="0" applyFont="1" applyFill="1" applyBorder="1" applyAlignment="1">
      <alignment vertical="top"/>
    </xf>
    <xf numFmtId="0" fontId="7" fillId="8" borderId="0" xfId="2" applyFont="1" applyFill="1" applyBorder="1" applyAlignment="1">
      <alignment vertical="top"/>
    </xf>
    <xf numFmtId="0" fontId="4" fillId="8" borderId="0" xfId="0" applyFont="1" applyFill="1" applyBorder="1" applyAlignment="1">
      <alignment horizontal="center" vertical="top"/>
    </xf>
    <xf numFmtId="0" fontId="4" fillId="8" borderId="0" xfId="3" applyFont="1" applyFill="1" applyBorder="1" applyAlignment="1">
      <alignment vertical="top"/>
    </xf>
    <xf numFmtId="0" fontId="4" fillId="8" borderId="0" xfId="6" applyFont="1" applyFill="1" applyBorder="1" applyAlignment="1">
      <alignment vertical="top"/>
    </xf>
    <xf numFmtId="0" fontId="4" fillId="8" borderId="0" xfId="7" applyFont="1" applyFill="1" applyBorder="1" applyAlignment="1">
      <alignment vertical="top"/>
    </xf>
    <xf numFmtId="0" fontId="9" fillId="8" borderId="0" xfId="0" applyFont="1" applyFill="1" applyBorder="1" applyAlignment="1"/>
    <xf numFmtId="0" fontId="4" fillId="8" borderId="0" xfId="0" applyFont="1" applyFill="1" applyBorder="1" applyAlignment="1"/>
    <xf numFmtId="0" fontId="9" fillId="0" borderId="0" xfId="0" applyFont="1" applyBorder="1" applyAlignment="1"/>
    <xf numFmtId="0" fontId="4" fillId="8" borderId="0" xfId="0" applyFont="1" applyFill="1" applyAlignment="1">
      <alignment vertical="top"/>
    </xf>
    <xf numFmtId="164" fontId="4" fillId="8" borderId="0" xfId="1" applyFont="1" applyFill="1" applyBorder="1" applyAlignment="1">
      <alignment horizontal="center" vertical="top"/>
    </xf>
    <xf numFmtId="0" fontId="10" fillId="8" borderId="0" xfId="5" applyFont="1" applyFill="1" applyBorder="1" applyAlignment="1">
      <alignment horizontal="center" vertical="top"/>
    </xf>
    <xf numFmtId="164" fontId="8" fillId="8" borderId="0" xfId="1" applyFont="1" applyFill="1" applyBorder="1" applyAlignment="1">
      <alignment horizontal="center" vertical="top"/>
    </xf>
    <xf numFmtId="164" fontId="8" fillId="0" borderId="0" xfId="1" applyFont="1" applyBorder="1" applyAlignment="1">
      <alignment horizontal="center" vertical="top"/>
    </xf>
    <xf numFmtId="0" fontId="4" fillId="8" borderId="0" xfId="0" applyFont="1" applyFill="1" applyAlignment="1">
      <alignment horizontal="center" vertical="top"/>
    </xf>
    <xf numFmtId="0" fontId="10" fillId="8" borderId="0" xfId="5" applyFont="1" applyFill="1" applyBorder="1" applyAlignment="1">
      <alignment vertical="top"/>
    </xf>
    <xf numFmtId="0" fontId="8" fillId="8" borderId="0" xfId="0" applyFont="1" applyFill="1" applyBorder="1" applyAlignment="1">
      <alignment vertical="top"/>
    </xf>
    <xf numFmtId="0" fontId="8" fillId="0" borderId="0" xfId="0" applyFont="1" applyBorder="1" applyAlignment="1">
      <alignment vertical="top"/>
    </xf>
    <xf numFmtId="164" fontId="4" fillId="8" borderId="0" xfId="1" applyFont="1" applyFill="1" applyBorder="1" applyAlignment="1">
      <alignment horizontal="center" vertical="center"/>
    </xf>
    <xf numFmtId="0" fontId="10" fillId="8" borderId="0" xfId="5" applyFont="1" applyFill="1" applyBorder="1" applyAlignment="1">
      <alignment horizontal="center" vertical="center"/>
    </xf>
    <xf numFmtId="164" fontId="8" fillId="8" borderId="0" xfId="1" applyFont="1" applyFill="1" applyBorder="1" applyAlignment="1">
      <alignment horizontal="center" vertical="center"/>
    </xf>
    <xf numFmtId="164" fontId="8" fillId="0" borderId="0" xfId="1" applyFont="1" applyBorder="1" applyAlignment="1">
      <alignment horizontal="center" vertical="center"/>
    </xf>
    <xf numFmtId="165" fontId="4" fillId="8" borderId="0" xfId="1" applyNumberFormat="1" applyFont="1" applyFill="1" applyBorder="1" applyAlignment="1"/>
    <xf numFmtId="0" fontId="14" fillId="8" borderId="0" xfId="0" applyFont="1" applyFill="1" applyAlignment="1">
      <alignment vertical="center" wrapText="1"/>
    </xf>
    <xf numFmtId="0" fontId="14" fillId="8" borderId="0" xfId="0" applyFont="1" applyFill="1" applyAlignment="1">
      <alignment vertical="center"/>
    </xf>
    <xf numFmtId="0" fontId="14" fillId="8" borderId="0" xfId="0" applyFont="1" applyFill="1"/>
    <xf numFmtId="0" fontId="14" fillId="8" borderId="0" xfId="0" applyFont="1" applyFill="1" applyAlignment="1">
      <alignment horizontal="center" vertical="center" wrapText="1"/>
    </xf>
    <xf numFmtId="165" fontId="15" fillId="8" borderId="0" xfId="1" applyNumberFormat="1" applyFont="1" applyFill="1" applyAlignment="1">
      <alignment vertical="center"/>
    </xf>
    <xf numFmtId="165" fontId="14" fillId="8" borderId="0" xfId="1" applyNumberFormat="1" applyFont="1" applyFill="1" applyAlignment="1">
      <alignment vertical="center"/>
    </xf>
    <xf numFmtId="165" fontId="16" fillId="8" borderId="0" xfId="1" applyNumberFormat="1" applyFont="1" applyFill="1" applyAlignment="1">
      <alignment vertical="center"/>
    </xf>
    <xf numFmtId="0" fontId="20" fillId="10" borderId="0" xfId="0" applyFont="1" applyFill="1"/>
    <xf numFmtId="0" fontId="20" fillId="10" borderId="0" xfId="0" applyFont="1" applyFill="1" applyAlignment="1">
      <alignment horizontal="left" indent="2"/>
    </xf>
    <xf numFmtId="0" fontId="18" fillId="10" borderId="0" xfId="0" applyFont="1" applyFill="1" applyAlignment="1">
      <alignment horizontal="left" indent="1"/>
    </xf>
    <xf numFmtId="0" fontId="20" fillId="10" borderId="0" xfId="0" applyFont="1" applyFill="1" applyAlignment="1">
      <alignment horizontal="left" indent="1"/>
    </xf>
    <xf numFmtId="0" fontId="21" fillId="10" borderId="0" xfId="0" applyFont="1" applyFill="1" applyAlignment="1">
      <alignment horizontal="left" indent="1"/>
    </xf>
    <xf numFmtId="0" fontId="21" fillId="10" borderId="0" xfId="0" applyFont="1" applyFill="1"/>
    <xf numFmtId="0" fontId="21" fillId="10" borderId="0" xfId="0" applyFont="1" applyFill="1" applyAlignment="1">
      <alignment wrapText="1"/>
    </xf>
    <xf numFmtId="0" fontId="21" fillId="10" borderId="0" xfId="0" applyFont="1" applyFill="1" applyAlignment="1">
      <alignment horizontal="center"/>
    </xf>
    <xf numFmtId="0" fontId="21" fillId="10" borderId="16" xfId="0" applyFont="1" applyFill="1" applyBorder="1"/>
    <xf numFmtId="0" fontId="21" fillId="10" borderId="13" xfId="0" applyFont="1" applyFill="1" applyBorder="1"/>
    <xf numFmtId="0" fontId="17" fillId="10" borderId="13" xfId="0" applyFont="1" applyFill="1" applyBorder="1"/>
    <xf numFmtId="0" fontId="20" fillId="10" borderId="13" xfId="0" applyFont="1" applyFill="1" applyBorder="1"/>
    <xf numFmtId="0" fontId="17" fillId="10" borderId="16" xfId="0" applyFont="1" applyFill="1" applyBorder="1" applyAlignment="1">
      <alignment horizontal="center"/>
    </xf>
    <xf numFmtId="0" fontId="20" fillId="10" borderId="16" xfId="0" applyFont="1" applyFill="1" applyBorder="1"/>
    <xf numFmtId="0" fontId="17" fillId="10" borderId="0" xfId="0" applyFont="1" applyFill="1"/>
    <xf numFmtId="0" fontId="17" fillId="10" borderId="14" xfId="0" applyFont="1" applyFill="1" applyBorder="1"/>
    <xf numFmtId="0" fontId="21" fillId="10" borderId="15" xfId="0" applyFont="1" applyFill="1" applyBorder="1"/>
    <xf numFmtId="0" fontId="23" fillId="10" borderId="0" xfId="0" applyFont="1" applyFill="1"/>
    <xf numFmtId="0" fontId="25" fillId="10" borderId="0" xfId="0" applyFont="1" applyFill="1"/>
    <xf numFmtId="0" fontId="18" fillId="10" borderId="0" xfId="0" applyFont="1" applyFill="1"/>
    <xf numFmtId="0" fontId="21" fillId="10" borderId="12" xfId="0" applyFont="1" applyFill="1" applyBorder="1" applyAlignment="1">
      <alignment horizontal="center"/>
    </xf>
    <xf numFmtId="0" fontId="26" fillId="10" borderId="0" xfId="0" applyFont="1" applyFill="1" applyAlignment="1">
      <alignment horizontal="center"/>
    </xf>
    <xf numFmtId="0" fontId="21" fillId="10" borderId="0" xfId="0" applyFont="1" applyFill="1" applyAlignment="1">
      <alignment vertical="top"/>
    </xf>
    <xf numFmtId="0" fontId="26" fillId="10" borderId="0" xfId="0" applyFont="1" applyFill="1" applyAlignment="1">
      <alignment vertical="top"/>
    </xf>
    <xf numFmtId="0" fontId="21" fillId="10" borderId="0" xfId="0" applyFont="1" applyFill="1" applyAlignment="1">
      <alignment horizontal="center" vertical="top"/>
    </xf>
    <xf numFmtId="0" fontId="26" fillId="10" borderId="0" xfId="0" applyFont="1" applyFill="1" applyAlignment="1">
      <alignment horizontal="center" vertical="top"/>
    </xf>
    <xf numFmtId="0" fontId="17" fillId="10" borderId="17" xfId="0" applyFont="1" applyFill="1" applyBorder="1"/>
    <xf numFmtId="0" fontId="17" fillId="10" borderId="16" xfId="0" applyFont="1" applyFill="1" applyBorder="1"/>
    <xf numFmtId="0" fontId="17" fillId="10" borderId="13" xfId="0" applyFont="1" applyFill="1" applyBorder="1" applyAlignment="1">
      <alignment horizontal="center"/>
    </xf>
    <xf numFmtId="0" fontId="21" fillId="0" borderId="0" xfId="0" applyFont="1" applyFill="1"/>
    <xf numFmtId="0" fontId="17" fillId="0" borderId="0" xfId="0" applyFont="1" applyFill="1" applyAlignment="1">
      <alignment wrapText="1"/>
    </xf>
    <xf numFmtId="165" fontId="15" fillId="0" borderId="0" xfId="1" applyNumberFormat="1" applyFont="1" applyFill="1" applyBorder="1" applyAlignment="1">
      <alignment vertical="center"/>
    </xf>
    <xf numFmtId="165" fontId="14" fillId="0" borderId="0" xfId="1" applyNumberFormat="1" applyFont="1" applyFill="1" applyAlignment="1">
      <alignment vertical="center"/>
    </xf>
    <xf numFmtId="0" fontId="21" fillId="0" borderId="0" xfId="0" applyFont="1" applyFill="1" applyAlignment="1">
      <alignment wrapText="1"/>
    </xf>
    <xf numFmtId="165" fontId="15" fillId="0" borderId="0" xfId="1" applyNumberFormat="1" applyFont="1" applyFill="1" applyAlignment="1">
      <alignment vertical="center"/>
    </xf>
    <xf numFmtId="165" fontId="27" fillId="8" borderId="3" xfId="1" applyNumberFormat="1" applyFont="1" applyFill="1" applyBorder="1" applyAlignment="1">
      <alignment vertical="center"/>
    </xf>
    <xf numFmtId="165" fontId="20" fillId="8" borderId="3" xfId="1" applyNumberFormat="1" applyFont="1" applyFill="1" applyBorder="1" applyAlignment="1">
      <alignment vertical="center"/>
    </xf>
    <xf numFmtId="165" fontId="17" fillId="8" borderId="3" xfId="1" applyNumberFormat="1" applyFont="1" applyFill="1" applyBorder="1" applyAlignment="1">
      <alignment vertical="center"/>
    </xf>
    <xf numFmtId="165" fontId="28" fillId="8" borderId="3" xfId="1" applyNumberFormat="1" applyFont="1" applyFill="1" applyBorder="1" applyAlignment="1">
      <alignment vertical="center"/>
    </xf>
    <xf numFmtId="165" fontId="17" fillId="8" borderId="0" xfId="1" applyNumberFormat="1" applyFont="1" applyFill="1" applyAlignment="1">
      <alignment vertical="center"/>
    </xf>
    <xf numFmtId="165" fontId="17" fillId="0" borderId="3" xfId="1" applyNumberFormat="1" applyFont="1" applyBorder="1" applyAlignment="1">
      <alignment vertical="center"/>
    </xf>
    <xf numFmtId="165" fontId="17" fillId="8" borderId="3" xfId="1" applyNumberFormat="1" applyFont="1" applyFill="1" applyBorder="1"/>
    <xf numFmtId="0" fontId="17" fillId="0" borderId="3" xfId="0" applyFont="1" applyBorder="1"/>
    <xf numFmtId="165" fontId="27" fillId="0" borderId="3" xfId="1" applyNumberFormat="1" applyFont="1" applyBorder="1" applyAlignment="1">
      <alignment vertical="center"/>
    </xf>
    <xf numFmtId="165" fontId="27" fillId="9" borderId="3" xfId="1" applyNumberFormat="1" applyFont="1" applyFill="1" applyBorder="1" applyAlignment="1">
      <alignment vertical="center"/>
    </xf>
    <xf numFmtId="165" fontId="27" fillId="8" borderId="3" xfId="1" applyNumberFormat="1" applyFont="1" applyFill="1" applyBorder="1" applyAlignment="1">
      <alignment vertical="center" wrapText="1"/>
    </xf>
    <xf numFmtId="0" fontId="21" fillId="10" borderId="3" xfId="0" applyFont="1" applyFill="1" applyBorder="1"/>
    <xf numFmtId="0" fontId="17" fillId="10" borderId="3" xfId="0" applyFont="1" applyFill="1" applyBorder="1" applyAlignment="1">
      <alignment horizontal="center" wrapText="1"/>
    </xf>
    <xf numFmtId="165" fontId="20" fillId="10" borderId="0" xfId="1" applyNumberFormat="1" applyFont="1" applyFill="1" applyAlignment="1">
      <alignment horizontal="left" indent="2"/>
    </xf>
    <xf numFmtId="165" fontId="20" fillId="10" borderId="0" xfId="1" applyNumberFormat="1" applyFont="1" applyFill="1" applyAlignment="1">
      <alignment horizontal="left" indent="1"/>
    </xf>
    <xf numFmtId="165" fontId="21" fillId="10" borderId="0" xfId="1" applyNumberFormat="1" applyFont="1" applyFill="1"/>
    <xf numFmtId="165" fontId="21" fillId="10" borderId="3" xfId="1" applyNumberFormat="1" applyFont="1" applyFill="1" applyBorder="1" applyAlignment="1">
      <alignment horizontal="center" wrapText="1"/>
    </xf>
    <xf numFmtId="165" fontId="21" fillId="10" borderId="3" xfId="1" applyNumberFormat="1" applyFont="1" applyFill="1" applyBorder="1"/>
    <xf numFmtId="165" fontId="17" fillId="10" borderId="3" xfId="1" applyNumberFormat="1" applyFont="1" applyFill="1" applyBorder="1"/>
    <xf numFmtId="165" fontId="17" fillId="0" borderId="3" xfId="1" applyNumberFormat="1" applyFont="1" applyBorder="1"/>
    <xf numFmtId="165" fontId="17" fillId="0" borderId="0" xfId="1" applyNumberFormat="1" applyFont="1" applyFill="1"/>
    <xf numFmtId="165" fontId="21" fillId="0" borderId="0" xfId="1" applyNumberFormat="1" applyFont="1" applyFill="1"/>
    <xf numFmtId="165" fontId="0" fillId="0" borderId="0" xfId="1" applyNumberFormat="1" applyFont="1"/>
    <xf numFmtId="0" fontId="21" fillId="10" borderId="0" xfId="0" applyFont="1" applyFill="1" applyAlignment="1">
      <alignment horizontal="left"/>
    </xf>
    <xf numFmtId="0" fontId="21" fillId="10" borderId="3" xfId="0" applyFont="1" applyFill="1" applyBorder="1" applyAlignment="1">
      <alignment horizontal="left"/>
    </xf>
    <xf numFmtId="0" fontId="17" fillId="10" borderId="3" xfId="0" applyFont="1" applyFill="1" applyBorder="1" applyAlignment="1">
      <alignment horizontal="left"/>
    </xf>
    <xf numFmtId="0" fontId="20" fillId="10" borderId="3" xfId="0" applyFont="1" applyFill="1" applyBorder="1" applyAlignment="1">
      <alignment horizontal="left"/>
    </xf>
    <xf numFmtId="0" fontId="17" fillId="0" borderId="3" xfId="0" applyFont="1" applyBorder="1" applyAlignment="1">
      <alignment horizontal="left" wrapText="1"/>
    </xf>
    <xf numFmtId="0" fontId="17" fillId="0" borderId="3" xfId="0" applyFont="1" applyBorder="1" applyAlignment="1">
      <alignment horizontal="left"/>
    </xf>
    <xf numFmtId="0" fontId="20" fillId="0" borderId="3" xfId="0" applyFont="1" applyBorder="1" applyAlignment="1">
      <alignment horizontal="left"/>
    </xf>
    <xf numFmtId="0" fontId="21" fillId="0" borderId="0" xfId="0" applyFont="1" applyFill="1" applyAlignment="1">
      <alignment horizontal="left"/>
    </xf>
    <xf numFmtId="0" fontId="0" fillId="0" borderId="0" xfId="0" applyAlignment="1">
      <alignment horizontal="left"/>
    </xf>
    <xf numFmtId="0" fontId="14" fillId="8" borderId="0" xfId="0" applyFont="1" applyFill="1" applyAlignment="1">
      <alignment horizontal="left" vertical="center"/>
    </xf>
    <xf numFmtId="165" fontId="21" fillId="10" borderId="0" xfId="1" applyNumberFormat="1" applyFont="1" applyFill="1" applyAlignment="1">
      <alignment horizontal="left" indent="2"/>
    </xf>
    <xf numFmtId="165" fontId="17" fillId="0" borderId="0" xfId="1" applyNumberFormat="1" applyFont="1"/>
    <xf numFmtId="165" fontId="27" fillId="8" borderId="0" xfId="1" applyNumberFormat="1" applyFont="1" applyFill="1" applyAlignment="1"/>
    <xf numFmtId="165" fontId="21" fillId="10" borderId="0" xfId="1" applyNumberFormat="1" applyFont="1" applyFill="1" applyAlignment="1">
      <alignment horizontal="left" indent="1"/>
    </xf>
    <xf numFmtId="165" fontId="21" fillId="10" borderId="0" xfId="1" applyNumberFormat="1" applyFont="1" applyFill="1" applyAlignment="1">
      <alignment horizontal="center"/>
    </xf>
    <xf numFmtId="165" fontId="17" fillId="8" borderId="0" xfId="1" applyNumberFormat="1" applyFont="1" applyFill="1" applyAlignment="1">
      <alignment horizontal="center" vertical="center"/>
    </xf>
    <xf numFmtId="165" fontId="17" fillId="8" borderId="3" xfId="1" applyNumberFormat="1" applyFont="1" applyFill="1" applyBorder="1" applyAlignment="1">
      <alignment horizontal="center" vertical="center" wrapText="1"/>
    </xf>
    <xf numFmtId="165" fontId="17" fillId="0" borderId="3" xfId="1" applyNumberFormat="1" applyFont="1" applyBorder="1" applyAlignment="1">
      <alignment horizontal="center" vertical="center" wrapText="1"/>
    </xf>
    <xf numFmtId="165" fontId="26" fillId="8" borderId="3" xfId="1" applyNumberFormat="1" applyFont="1" applyFill="1" applyBorder="1" applyAlignment="1">
      <alignment horizontal="center" vertical="center" wrapText="1"/>
    </xf>
    <xf numFmtId="165" fontId="17" fillId="8" borderId="3" xfId="1" applyNumberFormat="1" applyFont="1" applyFill="1" applyBorder="1" applyAlignment="1">
      <alignment horizontal="center" vertical="top" wrapText="1"/>
    </xf>
    <xf numFmtId="165" fontId="17" fillId="8" borderId="3" xfId="1" applyNumberFormat="1" applyFont="1" applyFill="1" applyBorder="1" applyAlignment="1">
      <alignment horizontal="center" wrapText="1"/>
    </xf>
    <xf numFmtId="165" fontId="26" fillId="8" borderId="3" xfId="1" applyNumberFormat="1" applyFont="1" applyFill="1" applyBorder="1" applyAlignment="1">
      <alignment vertical="center"/>
    </xf>
    <xf numFmtId="165" fontId="20" fillId="10" borderId="3" xfId="1" applyNumberFormat="1" applyFont="1" applyFill="1" applyBorder="1"/>
    <xf numFmtId="165" fontId="23" fillId="10" borderId="3" xfId="1" applyNumberFormat="1" applyFont="1" applyFill="1" applyBorder="1"/>
    <xf numFmtId="165" fontId="20" fillId="10" borderId="3" xfId="1" applyNumberFormat="1" applyFont="1" applyFill="1" applyBorder="1" applyAlignment="1">
      <alignment wrapText="1"/>
    </xf>
    <xf numFmtId="165" fontId="24" fillId="0" borderId="0" xfId="1" applyNumberFormat="1" applyFont="1" applyFill="1"/>
    <xf numFmtId="165" fontId="23" fillId="0" borderId="0" xfId="1" applyNumberFormat="1" applyFont="1" applyFill="1"/>
    <xf numFmtId="165" fontId="25" fillId="0" borderId="0" xfId="1" applyNumberFormat="1" applyFont="1" applyFill="1"/>
    <xf numFmtId="165" fontId="14" fillId="8" borderId="0" xfId="1" applyNumberFormat="1" applyFont="1" applyFill="1" applyAlignment="1">
      <alignment horizontal="center" vertical="center"/>
    </xf>
    <xf numFmtId="165" fontId="14" fillId="8" borderId="0" xfId="1" applyNumberFormat="1" applyFont="1" applyFill="1" applyAlignment="1">
      <alignment vertical="center" wrapText="1"/>
    </xf>
    <xf numFmtId="0" fontId="21" fillId="10" borderId="3" xfId="1" applyNumberFormat="1" applyFont="1" applyFill="1" applyBorder="1" applyAlignment="1">
      <alignment horizontal="center" wrapText="1"/>
    </xf>
    <xf numFmtId="0" fontId="17" fillId="8" borderId="3" xfId="1" applyNumberFormat="1" applyFont="1" applyFill="1" applyBorder="1" applyAlignment="1">
      <alignment horizontal="center" vertical="center" wrapText="1"/>
    </xf>
    <xf numFmtId="0" fontId="14" fillId="8" borderId="0" xfId="0" applyNumberFormat="1" applyFont="1" applyFill="1" applyAlignment="1">
      <alignment horizontal="center" vertical="center" wrapText="1"/>
    </xf>
    <xf numFmtId="0" fontId="17" fillId="0" borderId="3" xfId="1" applyNumberFormat="1" applyFont="1" applyBorder="1" applyAlignment="1">
      <alignment horizontal="center" vertical="center" wrapText="1"/>
    </xf>
    <xf numFmtId="0" fontId="26" fillId="8" borderId="3" xfId="1" applyNumberFormat="1" applyFont="1" applyFill="1" applyBorder="1" applyAlignment="1">
      <alignment horizontal="center" vertical="center" wrapText="1"/>
    </xf>
    <xf numFmtId="0" fontId="17" fillId="8" borderId="3" xfId="1" applyNumberFormat="1" applyFont="1" applyFill="1" applyBorder="1" applyAlignment="1">
      <alignment horizontal="center"/>
    </xf>
    <xf numFmtId="165" fontId="20" fillId="0" borderId="3" xfId="1" applyNumberFormat="1" applyFont="1" applyBorder="1"/>
    <xf numFmtId="165" fontId="23" fillId="0" borderId="3" xfId="1" applyNumberFormat="1" applyFont="1" applyBorder="1"/>
    <xf numFmtId="165" fontId="17" fillId="0" borderId="3" xfId="1" applyNumberFormat="1" applyFont="1" applyBorder="1" applyAlignment="1">
      <alignment horizontal="center" wrapText="1"/>
    </xf>
    <xf numFmtId="165" fontId="26" fillId="8" borderId="3" xfId="1" applyNumberFormat="1" applyFont="1" applyFill="1" applyBorder="1" applyAlignment="1">
      <alignment horizontal="center" wrapText="1"/>
    </xf>
    <xf numFmtId="0" fontId="14" fillId="8" borderId="0" xfId="0" applyFont="1" applyFill="1" applyAlignment="1">
      <alignment horizontal="center" wrapText="1"/>
    </xf>
    <xf numFmtId="0" fontId="17" fillId="10" borderId="3" xfId="0" applyFont="1" applyFill="1" applyBorder="1" applyAlignment="1">
      <alignment wrapText="1"/>
    </xf>
    <xf numFmtId="0" fontId="17" fillId="0" borderId="3" xfId="0" applyFont="1" applyBorder="1" applyAlignment="1">
      <alignment wrapText="1"/>
    </xf>
    <xf numFmtId="0" fontId="20" fillId="0" borderId="3" xfId="0" applyFont="1" applyBorder="1" applyAlignment="1">
      <alignment wrapText="1"/>
    </xf>
    <xf numFmtId="0" fontId="17" fillId="10" borderId="3" xfId="0" applyFont="1" applyFill="1" applyBorder="1"/>
    <xf numFmtId="0" fontId="20" fillId="10" borderId="3" xfId="0" applyFont="1" applyFill="1" applyBorder="1"/>
    <xf numFmtId="0" fontId="20" fillId="10" borderId="3" xfId="0" applyFont="1" applyFill="1" applyBorder="1" applyAlignment="1">
      <alignment wrapText="1"/>
    </xf>
    <xf numFmtId="0" fontId="21" fillId="10" borderId="1" xfId="0" applyFont="1" applyFill="1" applyBorder="1" applyAlignment="1">
      <alignment horizontal="center" vertical="center" textRotation="90" wrapText="1"/>
    </xf>
    <xf numFmtId="0" fontId="21" fillId="10" borderId="4" xfId="0" applyFont="1" applyFill="1" applyBorder="1" applyAlignment="1">
      <alignment horizontal="center" vertical="center" textRotation="90" wrapText="1"/>
    </xf>
    <xf numFmtId="0" fontId="21" fillId="10" borderId="6" xfId="0" applyFont="1" applyFill="1" applyBorder="1" applyAlignment="1">
      <alignment horizontal="center" vertical="center" textRotation="90" wrapText="1"/>
    </xf>
    <xf numFmtId="0" fontId="21" fillId="10" borderId="3" xfId="0" applyNumberFormat="1" applyFont="1" applyFill="1" applyBorder="1" applyAlignment="1">
      <alignment horizontal="center" wrapText="1"/>
    </xf>
    <xf numFmtId="0" fontId="17" fillId="10" borderId="3" xfId="0" applyNumberFormat="1" applyFont="1" applyFill="1" applyBorder="1" applyAlignment="1">
      <alignment horizontal="center" wrapText="1"/>
    </xf>
    <xf numFmtId="165" fontId="21" fillId="10" borderId="3" xfId="1" applyNumberFormat="1" applyFont="1" applyFill="1" applyBorder="1" applyAlignment="1">
      <alignment horizontal="center"/>
    </xf>
    <xf numFmtId="0" fontId="17" fillId="10" borderId="5" xfId="0" applyFont="1" applyFill="1" applyBorder="1" applyAlignment="1">
      <alignment horizontal="left" wrapText="1"/>
    </xf>
    <xf numFmtId="0" fontId="17" fillId="10" borderId="2" xfId="0" applyFont="1" applyFill="1" applyBorder="1" applyAlignment="1">
      <alignment horizontal="left" wrapText="1"/>
    </xf>
    <xf numFmtId="0" fontId="17" fillId="10" borderId="3" xfId="0" applyFont="1" applyFill="1" applyBorder="1" applyAlignment="1">
      <alignment wrapText="1"/>
    </xf>
    <xf numFmtId="0" fontId="17" fillId="0" borderId="3" xfId="0" applyFont="1" applyBorder="1" applyAlignment="1">
      <alignment wrapText="1"/>
    </xf>
    <xf numFmtId="0" fontId="20" fillId="10" borderId="3" xfId="0" applyFont="1" applyFill="1" applyBorder="1" applyAlignment="1">
      <alignment wrapText="1"/>
    </xf>
    <xf numFmtId="0" fontId="20" fillId="10" borderId="3" xfId="0" applyFont="1" applyFill="1" applyBorder="1" applyAlignment="1">
      <alignment horizontal="center" wrapText="1"/>
    </xf>
    <xf numFmtId="0" fontId="20" fillId="10" borderId="3" xfId="0" applyFont="1" applyFill="1" applyBorder="1"/>
    <xf numFmtId="0" fontId="20" fillId="0" borderId="3" xfId="0" applyFont="1" applyBorder="1"/>
    <xf numFmtId="0" fontId="17" fillId="0" borderId="3" xfId="0" applyFont="1" applyBorder="1" applyAlignment="1">
      <alignment vertical="top" wrapText="1"/>
    </xf>
    <xf numFmtId="0" fontId="20" fillId="0" borderId="3" xfId="0" applyFont="1" applyBorder="1" applyAlignment="1">
      <alignment wrapText="1"/>
    </xf>
    <xf numFmtId="0" fontId="21" fillId="10" borderId="3" xfId="0" applyFont="1" applyFill="1" applyBorder="1" applyAlignment="1">
      <alignment wrapText="1"/>
    </xf>
    <xf numFmtId="0" fontId="17" fillId="10" borderId="3" xfId="0" applyFont="1" applyFill="1" applyBorder="1"/>
    <xf numFmtId="0" fontId="21" fillId="10" borderId="7" xfId="0" applyFont="1" applyFill="1" applyBorder="1" applyAlignment="1">
      <alignment horizontal="center" textRotation="90"/>
    </xf>
    <xf numFmtId="0" fontId="21" fillId="10" borderId="8" xfId="0" applyFont="1" applyFill="1" applyBorder="1" applyAlignment="1">
      <alignment horizontal="center" textRotation="90"/>
    </xf>
    <xf numFmtId="0" fontId="21" fillId="10" borderId="9" xfId="0" applyFont="1" applyFill="1" applyBorder="1" applyAlignment="1">
      <alignment horizontal="center" textRotation="90"/>
    </xf>
    <xf numFmtId="0" fontId="21" fillId="10" borderId="18" xfId="0" applyFont="1" applyFill="1" applyBorder="1"/>
    <xf numFmtId="0" fontId="21" fillId="10" borderId="10" xfId="0" applyFont="1" applyFill="1" applyBorder="1"/>
    <xf numFmtId="0" fontId="17" fillId="10" borderId="18" xfId="0" applyFont="1" applyFill="1" applyBorder="1"/>
    <xf numFmtId="0" fontId="17" fillId="10" borderId="12" xfId="0" applyFont="1" applyFill="1" applyBorder="1"/>
    <xf numFmtId="0" fontId="21" fillId="10" borderId="19" xfId="0" applyFont="1" applyFill="1" applyBorder="1" applyAlignment="1">
      <alignment horizontal="center"/>
    </xf>
    <xf numFmtId="0" fontId="21" fillId="10" borderId="15" xfId="0" applyFont="1" applyFill="1" applyBorder="1" applyAlignment="1">
      <alignment horizontal="center"/>
    </xf>
    <xf numFmtId="0" fontId="21" fillId="10" borderId="13" xfId="0" applyFont="1" applyFill="1" applyBorder="1" applyAlignment="1">
      <alignment horizontal="center"/>
    </xf>
    <xf numFmtId="0" fontId="17" fillId="10" borderId="10" xfId="0" applyFont="1" applyFill="1" applyBorder="1"/>
    <xf numFmtId="0" fontId="17" fillId="10" borderId="18" xfId="0" applyFont="1" applyFill="1" applyBorder="1" applyAlignment="1">
      <alignment wrapText="1"/>
    </xf>
    <xf numFmtId="0" fontId="17" fillId="10" borderId="10" xfId="0" applyFont="1" applyFill="1" applyBorder="1" applyAlignment="1">
      <alignment wrapText="1"/>
    </xf>
    <xf numFmtId="0" fontId="20" fillId="10" borderId="18" xfId="0" applyFont="1" applyFill="1" applyBorder="1"/>
    <xf numFmtId="0" fontId="20" fillId="10" borderId="10" xfId="0" applyFont="1" applyFill="1" applyBorder="1"/>
    <xf numFmtId="0" fontId="20" fillId="10" borderId="18" xfId="0" applyFont="1" applyFill="1" applyBorder="1" applyAlignment="1">
      <alignment horizontal="center"/>
    </xf>
    <xf numFmtId="0" fontId="20" fillId="10" borderId="11" xfId="0" applyFont="1" applyFill="1" applyBorder="1" applyAlignment="1">
      <alignment horizontal="center"/>
    </xf>
    <xf numFmtId="0" fontId="20" fillId="10" borderId="10" xfId="0" applyFont="1" applyFill="1" applyBorder="1" applyAlignment="1">
      <alignment horizontal="center"/>
    </xf>
    <xf numFmtId="0" fontId="20" fillId="10" borderId="11" xfId="0" applyFont="1" applyFill="1" applyBorder="1"/>
    <xf numFmtId="0" fontId="17" fillId="10" borderId="11" xfId="0" applyFont="1" applyFill="1" applyBorder="1"/>
    <xf numFmtId="0" fontId="17" fillId="10" borderId="18" xfId="0" applyFont="1" applyFill="1" applyBorder="1" applyAlignment="1">
      <alignment vertical="top"/>
    </xf>
    <xf numFmtId="0" fontId="17" fillId="10" borderId="10" xfId="0" applyFont="1" applyFill="1" applyBorder="1" applyAlignment="1">
      <alignment vertical="top"/>
    </xf>
    <xf numFmtId="0" fontId="17" fillId="10" borderId="7" xfId="0" applyFont="1" applyFill="1" applyBorder="1"/>
    <xf numFmtId="0" fontId="17" fillId="10" borderId="16" xfId="0" applyFont="1" applyFill="1" applyBorder="1"/>
    <xf numFmtId="0" fontId="21" fillId="10" borderId="7" xfId="0" applyFont="1" applyFill="1" applyBorder="1"/>
    <xf numFmtId="0" fontId="21" fillId="10" borderId="16" xfId="0" applyFont="1" applyFill="1" applyBorder="1"/>
    <xf numFmtId="0" fontId="21" fillId="10" borderId="20" xfId="0" applyFont="1" applyFill="1" applyBorder="1" applyAlignment="1">
      <alignment horizontal="center" vertical="center" wrapText="1"/>
    </xf>
    <xf numFmtId="0" fontId="21" fillId="10" borderId="12" xfId="0" applyFont="1" applyFill="1" applyBorder="1" applyAlignment="1">
      <alignment horizontal="center" vertical="center" wrapText="1"/>
    </xf>
  </cellXfs>
  <cellStyles count="8">
    <cellStyle name="20% - Accent2" xfId="3" builtinId="34"/>
    <cellStyle name="20% - Accent6" xfId="6" builtinId="50"/>
    <cellStyle name="40% - Accent6" xfId="7" builtinId="51"/>
    <cellStyle name="60% - Accent2" xfId="4" builtinId="36"/>
    <cellStyle name="Accent5" xfId="5" builtinId="45"/>
    <cellStyle name="Comma" xfId="1" builtinId="3"/>
    <cellStyle name="Good" xfId="2" builtinId="26"/>
    <cellStyle name="Normal" xfId="0" builtinId="0"/>
  </cellStyles>
  <dxfs count="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FFC7CE"/>
        </patternFill>
      </fill>
    </dxf>
    <dxf>
      <fill>
        <patternFill>
          <bgColor rgb="FFFFC7CE"/>
        </patternFill>
      </fill>
    </dxf>
    <dxf>
      <fill>
        <patternFill>
          <bgColor rgb="FF7030A0"/>
        </patternFill>
      </fill>
    </dxf>
    <dxf>
      <fill>
        <patternFill>
          <bgColor rgb="FF7030A0"/>
        </patternFill>
      </fill>
    </dxf>
    <dxf>
      <fill>
        <patternFill>
          <bgColor rgb="FF92D050"/>
        </patternFill>
      </fill>
    </dxf>
    <dxf>
      <fill>
        <patternFill>
          <bgColor rgb="FF92D050"/>
        </patternFill>
      </fill>
    </dxf>
    <dxf>
      <fill>
        <patternFill>
          <bgColor rgb="FF92D050"/>
        </patternFill>
      </fill>
    </dxf>
    <dxf>
      <fill>
        <patternFill>
          <bgColor theme="8" tint="-0.24994659260841701"/>
        </patternFill>
      </fill>
    </dxf>
    <dxf>
      <fill>
        <patternFill>
          <bgColor theme="8" tint="-0.24994659260841701"/>
        </patternFill>
      </fill>
    </dxf>
    <dxf>
      <fill>
        <patternFill>
          <bgColor rgb="FF92D050"/>
        </patternFill>
      </fill>
    </dxf>
    <dxf>
      <fill>
        <patternFill>
          <bgColor rgb="FF92D050"/>
        </patternFill>
      </fill>
    </dxf>
    <dxf>
      <fill>
        <patternFill>
          <bgColor rgb="FF00B0F0"/>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Q106"/>
  <sheetViews>
    <sheetView tabSelected="1" view="pageBreakPreview" zoomScaleSheetLayoutView="100" workbookViewId="0">
      <selection activeCell="B22" sqref="B22:C22"/>
    </sheetView>
  </sheetViews>
  <sheetFormatPr defaultColWidth="7.7109375" defaultRowHeight="9.75" customHeight="1" x14ac:dyDescent="0.15"/>
  <cols>
    <col min="1" max="1" width="7" style="129" customWidth="1"/>
    <col min="2" max="2" width="17.42578125" style="55" customWidth="1"/>
    <col min="3" max="3" width="39" style="55" customWidth="1"/>
    <col min="4" max="4" width="14.28515625" style="60" bestFit="1" customWidth="1"/>
    <col min="5" max="5" width="9.42578125" style="60" customWidth="1"/>
    <col min="6" max="6" width="8.7109375" style="60" customWidth="1"/>
    <col min="7" max="7" width="8.5703125" style="60" customWidth="1"/>
    <col min="8" max="8" width="9.7109375" style="60" customWidth="1"/>
    <col min="9" max="9" width="9.28515625" style="60" customWidth="1"/>
    <col min="10" max="10" width="10" style="60" customWidth="1"/>
    <col min="11" max="15" width="7.7109375" style="60" customWidth="1"/>
    <col min="16" max="16" width="10.85546875" style="60" bestFit="1" customWidth="1"/>
    <col min="17" max="17" width="7.7109375" style="60" customWidth="1"/>
    <col min="18" max="18" width="9" style="60" customWidth="1"/>
    <col min="19" max="22" width="7.7109375" style="60" customWidth="1"/>
    <col min="23" max="23" width="9" style="60" customWidth="1"/>
    <col min="24" max="24" width="9.28515625" style="60" customWidth="1"/>
    <col min="25" max="28" width="7.7109375" style="60" customWidth="1"/>
    <col min="29" max="29" width="9.140625" style="60" customWidth="1"/>
    <col min="30" max="30" width="9.28515625" style="60" customWidth="1"/>
    <col min="31" max="31" width="10.42578125" style="60" customWidth="1"/>
    <col min="32" max="32" width="9.7109375" style="60" customWidth="1"/>
    <col min="33" max="33" width="7.7109375" style="60" customWidth="1"/>
    <col min="34" max="34" width="8.85546875" style="60" customWidth="1"/>
    <col min="35" max="35" width="7.7109375" style="60" customWidth="1"/>
    <col min="36" max="36" width="10.5703125" style="60" customWidth="1"/>
    <col min="37" max="37" width="10.28515625" style="60" customWidth="1"/>
    <col min="38" max="40" width="7.7109375" style="60" customWidth="1"/>
    <col min="41" max="41" width="7.42578125" style="60" customWidth="1"/>
    <col min="42" max="43" width="9.42578125" style="60" customWidth="1"/>
    <col min="44" max="45" width="7.7109375" style="60" customWidth="1"/>
    <col min="46" max="46" width="10.140625" style="60" customWidth="1"/>
    <col min="47" max="47" width="7.7109375" style="60" customWidth="1"/>
    <col min="48" max="48" width="9.85546875" style="60" customWidth="1"/>
    <col min="49" max="49" width="9.140625" style="60" customWidth="1"/>
    <col min="50" max="52" width="7.7109375" style="60" customWidth="1"/>
    <col min="53" max="53" width="9.7109375" style="60" customWidth="1"/>
    <col min="54" max="54" width="8.7109375" style="60" customWidth="1"/>
    <col min="55" max="55" width="9.42578125" style="60" customWidth="1"/>
    <col min="56" max="56" width="10.140625" style="60" customWidth="1"/>
    <col min="57" max="57" width="8.85546875" style="60" customWidth="1"/>
    <col min="58" max="60" width="7.7109375" style="60" customWidth="1"/>
    <col min="61" max="61" width="10.7109375" style="60" bestFit="1" customWidth="1"/>
    <col min="62" max="62" width="7.7109375" style="60" customWidth="1"/>
    <col min="63" max="63" width="7.7109375" style="60" hidden="1" customWidth="1"/>
    <col min="64" max="77" width="7.7109375" style="60" customWidth="1"/>
    <col min="78" max="78" width="9.42578125" style="60" customWidth="1"/>
    <col min="79" max="80" width="7.7109375" style="60" customWidth="1"/>
    <col min="81" max="81" width="9.140625" style="60" customWidth="1"/>
    <col min="82" max="85" width="7.7109375" style="60" customWidth="1"/>
    <col min="86" max="86" width="8" style="60" customWidth="1"/>
    <col min="87" max="90" width="7.7109375" style="60" customWidth="1"/>
    <col min="91" max="91" width="8.85546875" style="60" customWidth="1"/>
    <col min="92" max="96" width="7.7109375" style="60" customWidth="1"/>
    <col min="97" max="97" width="9.140625" style="60" customWidth="1"/>
    <col min="98" max="99" width="7.7109375" style="60" customWidth="1"/>
    <col min="100" max="100" width="8.7109375" style="60" customWidth="1"/>
    <col min="101" max="112" width="7.7109375" style="60" customWidth="1"/>
    <col min="113" max="113" width="10.140625" style="60" customWidth="1"/>
    <col min="114" max="114" width="7.7109375" style="60" customWidth="1"/>
    <col min="115" max="115" width="8.28515625" style="60" customWidth="1"/>
    <col min="116" max="116" width="8.85546875" style="60" customWidth="1"/>
    <col min="117" max="119" width="7.7109375" style="60" customWidth="1"/>
    <col min="120" max="120" width="8.28515625" style="60" customWidth="1"/>
    <col min="121" max="122" width="7.7109375" style="60" customWidth="1"/>
    <col min="123" max="123" width="9.28515625" style="60" customWidth="1"/>
    <col min="124" max="127" width="7.7109375" style="60" customWidth="1"/>
    <col min="128" max="128" width="8.7109375" style="60" customWidth="1"/>
    <col min="129" max="131" width="7.7109375" style="60" customWidth="1"/>
    <col min="132" max="132" width="9.28515625" style="60" customWidth="1"/>
    <col min="133" max="138" width="7.7109375" style="60" customWidth="1"/>
    <col min="139" max="139" width="8.7109375" style="60" customWidth="1"/>
    <col min="140" max="143" width="7.7109375" style="60" customWidth="1"/>
    <col min="144" max="144" width="8.7109375" style="60" customWidth="1"/>
    <col min="145" max="146" width="7.7109375" style="60" customWidth="1"/>
    <col min="147" max="147" width="13.28515625" style="60" customWidth="1"/>
    <col min="148" max="148" width="8.85546875" style="60" customWidth="1"/>
    <col min="149" max="160" width="7.7109375" style="60" customWidth="1"/>
    <col min="161" max="161" width="9.140625" style="60" customWidth="1"/>
    <col min="162" max="169" width="7.7109375" style="60" customWidth="1"/>
    <col min="170" max="170" width="10" style="60" customWidth="1"/>
    <col min="171" max="181" width="7.7109375" style="60" customWidth="1"/>
    <col min="182" max="182" width="8.42578125" style="60" customWidth="1"/>
    <col min="183" max="190" width="7.7109375" style="60" customWidth="1"/>
    <col min="191" max="191" width="10" style="60" customWidth="1"/>
    <col min="192" max="213" width="7.7109375" style="60" customWidth="1"/>
    <col min="214" max="214" width="8.5703125" style="60" customWidth="1"/>
    <col min="215" max="229" width="7.7109375" style="60" customWidth="1"/>
    <col min="230" max="230" width="9.85546875" style="60" customWidth="1"/>
    <col min="231" max="251" width="7.7109375" style="60" customWidth="1"/>
    <col min="252" max="252" width="10.140625" style="60" customWidth="1"/>
    <col min="253" max="254" width="7.7109375" style="60" customWidth="1"/>
    <col min="255" max="255" width="8.7109375" style="60" customWidth="1"/>
    <col min="256" max="256" width="9" style="60" customWidth="1"/>
    <col min="257" max="268" width="7.7109375" style="60" customWidth="1"/>
    <col min="269" max="269" width="8.28515625" style="60" customWidth="1"/>
    <col min="270" max="275" width="7.7109375" style="60" customWidth="1"/>
    <col min="276" max="276" width="8.28515625" style="60" customWidth="1"/>
    <col min="277" max="278" width="7.7109375" style="60" customWidth="1"/>
    <col min="279" max="279" width="8.28515625" style="60" customWidth="1"/>
    <col min="280" max="280" width="9.28515625" style="60" customWidth="1"/>
    <col min="281" max="285" width="7.7109375" style="60" customWidth="1"/>
    <col min="286" max="286" width="8.85546875" style="60" customWidth="1"/>
    <col min="287" max="295" width="7.7109375" style="60" customWidth="1"/>
    <col min="296" max="296" width="10.42578125" style="60" customWidth="1"/>
    <col min="297" max="298" width="7.7109375" style="60" customWidth="1"/>
    <col min="299" max="299" width="8.28515625" style="60" customWidth="1"/>
    <col min="300" max="300" width="8.140625" style="60" customWidth="1"/>
    <col min="301" max="301" width="8.5703125" style="60" customWidth="1"/>
    <col min="302" max="302" width="8.42578125" style="60" customWidth="1"/>
    <col min="303" max="303" width="8.85546875" style="60" customWidth="1"/>
    <col min="304" max="304" width="9.7109375" style="60" customWidth="1"/>
    <col min="305" max="305" width="9.28515625" style="60" customWidth="1"/>
    <col min="306" max="306" width="7.7109375" style="60" customWidth="1"/>
    <col min="307" max="307" width="8.42578125" style="60" customWidth="1"/>
    <col min="308" max="309" width="7.7109375" style="60" customWidth="1"/>
    <col min="310" max="311" width="9.85546875" style="60" customWidth="1"/>
    <col min="312" max="329" width="7.7109375" style="60" customWidth="1"/>
    <col min="330" max="330" width="9.7109375" style="60" customWidth="1"/>
    <col min="331" max="333" width="7.7109375" style="60" customWidth="1"/>
    <col min="334" max="334" width="9.28515625" style="60" customWidth="1"/>
    <col min="335" max="344" width="7.7109375" style="60" customWidth="1"/>
    <col min="345" max="345" width="9.42578125" style="60" customWidth="1"/>
    <col min="346" max="346" width="9.140625" style="60" customWidth="1"/>
    <col min="347" max="376" width="7.7109375" style="60" customWidth="1"/>
    <col min="377" max="377" width="8.28515625" style="60" customWidth="1"/>
    <col min="378" max="402" width="7.7109375" style="60" customWidth="1"/>
    <col min="403" max="403" width="9.140625" style="60" customWidth="1"/>
    <col min="404" max="415" width="7.7109375" style="60" customWidth="1"/>
    <col min="416" max="416" width="10.28515625" style="60" customWidth="1"/>
    <col min="417" max="419" width="7.7109375" style="60" customWidth="1"/>
    <col min="420" max="420" width="8.5703125" style="60" customWidth="1"/>
    <col min="421" max="422" width="7.7109375" style="60" customWidth="1"/>
    <col min="423" max="423" width="8.7109375" style="60" customWidth="1"/>
    <col min="424" max="424" width="8.42578125" style="60" customWidth="1"/>
    <col min="425" max="428" width="7.7109375" style="60" customWidth="1"/>
    <col min="429" max="429" width="8.85546875" style="60" customWidth="1"/>
    <col min="430" max="437" width="7.7109375" style="60" customWidth="1"/>
    <col min="438" max="438" width="10.5703125" style="60" customWidth="1"/>
    <col min="439" max="441" width="7.7109375" style="60" customWidth="1"/>
    <col min="442" max="442" width="8.140625" style="60" customWidth="1"/>
    <col min="443" max="444" width="7.7109375" style="60" customWidth="1"/>
    <col min="445" max="445" width="8.5703125" style="60" customWidth="1"/>
    <col min="446" max="447" width="7.7109375" style="60" customWidth="1"/>
    <col min="448" max="448" width="8.28515625" style="60" customWidth="1"/>
    <col min="449" max="452" width="7.7109375" style="60" customWidth="1"/>
    <col min="453" max="453" width="8.28515625" style="60" customWidth="1"/>
    <col min="454" max="460" width="7.7109375" style="60" customWidth="1"/>
    <col min="461" max="461" width="9.140625" style="60" customWidth="1"/>
    <col min="462" max="462" width="9.42578125" style="60" customWidth="1"/>
    <col min="463" max="467" width="7.7109375" style="60" customWidth="1"/>
    <col min="468" max="468" width="8.5703125" style="60" customWidth="1"/>
    <col min="469" max="474" width="7.7109375" style="60" customWidth="1"/>
    <col min="475" max="475" width="10.140625" style="60" customWidth="1"/>
    <col min="476" max="476" width="10.28515625" style="60" customWidth="1"/>
    <col min="477" max="477" width="8.85546875" style="60" customWidth="1"/>
    <col min="478" max="478" width="9.85546875" style="60" customWidth="1"/>
    <col min="479" max="479" width="8.7109375" style="60" customWidth="1"/>
    <col min="480" max="480" width="11.5703125" style="60" customWidth="1"/>
    <col min="481" max="481" width="9.7109375" style="60" customWidth="1"/>
    <col min="482" max="482" width="11.140625" style="60" customWidth="1"/>
    <col min="483" max="485" width="7.7109375" style="57"/>
    <col min="486" max="16384" width="7.7109375" style="56"/>
  </cols>
  <sheetData>
    <row r="2" spans="1:482" ht="12.75" customHeight="1" x14ac:dyDescent="0.2">
      <c r="A2" s="63" t="s">
        <v>834</v>
      </c>
      <c r="B2" s="62"/>
      <c r="C2" s="63"/>
      <c r="D2" s="110"/>
      <c r="E2" s="110"/>
      <c r="F2" s="110"/>
      <c r="G2" s="110"/>
      <c r="H2" s="11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10"/>
      <c r="BD2" s="110"/>
      <c r="BE2" s="130"/>
      <c r="BF2" s="130"/>
      <c r="BG2" s="130"/>
      <c r="BH2" s="130"/>
      <c r="BI2" s="130" t="s">
        <v>912</v>
      </c>
      <c r="BJ2" s="131"/>
      <c r="BK2" s="13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G2" s="101"/>
      <c r="NH2" s="101"/>
      <c r="NI2" s="101"/>
      <c r="NJ2" s="101"/>
      <c r="NK2" s="101"/>
      <c r="NL2" s="101"/>
      <c r="NM2" s="101"/>
      <c r="NN2" s="101"/>
      <c r="NO2" s="101"/>
      <c r="NP2" s="101"/>
      <c r="NQ2" s="101"/>
      <c r="NR2" s="101"/>
      <c r="NS2" s="101"/>
      <c r="NT2" s="101"/>
      <c r="NU2" s="101"/>
      <c r="NV2" s="101"/>
      <c r="NW2" s="101"/>
      <c r="NX2" s="101"/>
      <c r="NY2" s="101"/>
      <c r="NZ2" s="101"/>
      <c r="OA2" s="101"/>
      <c r="OB2" s="101"/>
      <c r="OC2" s="101"/>
      <c r="OD2" s="101"/>
      <c r="OE2" s="101"/>
      <c r="OF2" s="101"/>
      <c r="OG2" s="101"/>
      <c r="OH2" s="101"/>
      <c r="OI2" s="101"/>
      <c r="OJ2" s="101"/>
      <c r="OK2" s="101"/>
      <c r="OL2" s="101"/>
      <c r="OM2" s="101"/>
      <c r="ON2" s="101"/>
      <c r="OO2" s="101"/>
      <c r="OP2" s="101"/>
      <c r="OQ2" s="132"/>
      <c r="OR2" s="132"/>
      <c r="OS2" s="132"/>
      <c r="OT2" s="132"/>
      <c r="OU2" s="101"/>
      <c r="OV2" s="101"/>
      <c r="OW2" s="101"/>
      <c r="OX2" s="101"/>
      <c r="OY2" s="101"/>
      <c r="OZ2" s="101"/>
      <c r="PA2" s="101"/>
      <c r="PB2" s="101"/>
      <c r="PC2" s="101"/>
      <c r="PD2" s="101"/>
      <c r="PE2" s="101"/>
      <c r="PF2" s="101"/>
      <c r="PG2" s="101"/>
      <c r="PH2" s="101"/>
      <c r="PI2" s="101"/>
      <c r="PJ2" s="101"/>
      <c r="PK2" s="101"/>
      <c r="PL2" s="101"/>
      <c r="PM2" s="101"/>
      <c r="PN2" s="101"/>
      <c r="PO2" s="101"/>
      <c r="PP2" s="101"/>
      <c r="PQ2" s="101"/>
      <c r="PR2" s="101"/>
      <c r="PS2" s="101"/>
      <c r="PT2" s="101"/>
      <c r="PU2" s="101"/>
      <c r="PV2" s="101"/>
      <c r="PW2" s="101"/>
      <c r="PX2" s="101"/>
      <c r="PY2" s="101"/>
      <c r="PZ2" s="101"/>
      <c r="QA2" s="101"/>
      <c r="QB2" s="101"/>
      <c r="QC2" s="101"/>
      <c r="QD2" s="101"/>
      <c r="QE2" s="101"/>
      <c r="QF2" s="101"/>
      <c r="QG2" s="101"/>
      <c r="QH2" s="101"/>
      <c r="QI2" s="101"/>
      <c r="QJ2" s="101"/>
      <c r="QK2" s="101"/>
      <c r="QL2" s="101"/>
      <c r="QM2" s="101"/>
      <c r="QN2" s="101"/>
      <c r="QO2" s="101"/>
      <c r="QP2" s="101"/>
      <c r="QQ2" s="101"/>
      <c r="QR2" s="101"/>
      <c r="QS2" s="101"/>
      <c r="QT2" s="101"/>
      <c r="QU2" s="101"/>
      <c r="QV2" s="101"/>
      <c r="QW2" s="101"/>
      <c r="QX2" s="101"/>
      <c r="QY2" s="101"/>
      <c r="QZ2" s="101"/>
      <c r="RA2" s="101"/>
      <c r="RB2" s="101"/>
      <c r="RC2" s="101"/>
      <c r="RD2" s="101"/>
      <c r="RE2" s="101"/>
      <c r="RF2" s="101"/>
      <c r="RG2" s="101"/>
      <c r="RH2" s="101"/>
      <c r="RI2" s="101"/>
      <c r="RJ2" s="101"/>
      <c r="RK2" s="101"/>
      <c r="RL2" s="101"/>
      <c r="RM2" s="101"/>
      <c r="RN2" s="101"/>
    </row>
    <row r="3" spans="1:482" ht="12.75" customHeight="1" x14ac:dyDescent="0.2">
      <c r="A3" s="65" t="s">
        <v>836</v>
      </c>
      <c r="B3" s="62"/>
      <c r="C3" s="65"/>
      <c r="D3" s="111"/>
      <c r="E3" s="111"/>
      <c r="F3" s="111"/>
      <c r="G3" s="111"/>
      <c r="H3" s="111"/>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11"/>
      <c r="BD3" s="111"/>
      <c r="BE3" s="133"/>
      <c r="BF3" s="133"/>
      <c r="BG3" s="133"/>
      <c r="BH3" s="133"/>
      <c r="BI3" s="133" t="s">
        <v>912</v>
      </c>
      <c r="BJ3" s="131"/>
      <c r="BK3" s="13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c r="IZ3" s="101"/>
      <c r="JA3" s="101"/>
      <c r="JB3" s="101"/>
      <c r="JC3" s="101"/>
      <c r="JD3" s="101"/>
      <c r="JE3" s="101"/>
      <c r="JF3" s="101"/>
      <c r="JG3" s="101"/>
      <c r="JH3" s="101"/>
      <c r="JI3" s="101"/>
      <c r="JJ3" s="101"/>
      <c r="JK3" s="101"/>
      <c r="JL3" s="101"/>
      <c r="JM3" s="101"/>
      <c r="JN3" s="101"/>
      <c r="JO3" s="101"/>
      <c r="JP3" s="101"/>
      <c r="JQ3" s="101"/>
      <c r="JR3" s="101"/>
      <c r="JS3" s="101"/>
      <c r="JT3" s="101"/>
      <c r="JU3" s="101"/>
      <c r="JV3" s="101"/>
      <c r="JW3" s="101"/>
      <c r="JX3" s="101"/>
      <c r="JY3" s="101"/>
      <c r="JZ3" s="101"/>
      <c r="KA3" s="101"/>
      <c r="KB3" s="101"/>
      <c r="KC3" s="101"/>
      <c r="KD3" s="101"/>
      <c r="KE3" s="101"/>
      <c r="KF3" s="101"/>
      <c r="KG3" s="101"/>
      <c r="KH3" s="101"/>
      <c r="KI3" s="101"/>
      <c r="KJ3" s="101"/>
      <c r="KK3" s="101"/>
      <c r="KL3" s="101"/>
      <c r="KM3" s="101"/>
      <c r="KN3" s="101"/>
      <c r="KO3" s="101"/>
      <c r="KP3" s="101"/>
      <c r="KQ3" s="101"/>
      <c r="KR3" s="101"/>
      <c r="KS3" s="101"/>
      <c r="KT3" s="101"/>
      <c r="KU3" s="101"/>
      <c r="KV3" s="101"/>
      <c r="KW3" s="101"/>
      <c r="KX3" s="101"/>
      <c r="KY3" s="101"/>
      <c r="KZ3" s="101"/>
      <c r="LA3" s="101"/>
      <c r="LB3" s="101"/>
      <c r="LC3" s="101"/>
      <c r="LD3" s="101"/>
      <c r="LE3" s="101"/>
      <c r="LF3" s="101"/>
      <c r="LG3" s="101"/>
      <c r="LH3" s="101"/>
      <c r="LI3" s="101"/>
      <c r="LJ3" s="101"/>
      <c r="LK3" s="101"/>
      <c r="LL3" s="101"/>
      <c r="LM3" s="101"/>
      <c r="LN3" s="101"/>
      <c r="LO3" s="101"/>
      <c r="LP3" s="101"/>
      <c r="LQ3" s="101"/>
      <c r="LR3" s="101"/>
      <c r="LS3" s="101"/>
      <c r="LT3" s="101"/>
      <c r="LU3" s="101"/>
      <c r="LV3" s="101"/>
      <c r="LW3" s="101"/>
      <c r="LX3" s="101"/>
      <c r="LY3" s="101"/>
      <c r="LZ3" s="101"/>
      <c r="MA3" s="101"/>
      <c r="MB3" s="101"/>
      <c r="MC3" s="101"/>
      <c r="MD3" s="101"/>
      <c r="ME3" s="101"/>
      <c r="MF3" s="101"/>
      <c r="MG3" s="101"/>
      <c r="MH3" s="101"/>
      <c r="MI3" s="101"/>
      <c r="MJ3" s="101"/>
      <c r="MK3" s="101"/>
      <c r="ML3" s="101"/>
      <c r="MM3" s="101"/>
      <c r="MN3" s="101"/>
      <c r="MO3" s="101"/>
      <c r="MP3" s="101"/>
      <c r="MQ3" s="101"/>
      <c r="MR3" s="101"/>
      <c r="MS3" s="101"/>
      <c r="MT3" s="101"/>
      <c r="MU3" s="101"/>
      <c r="MV3" s="101"/>
      <c r="MW3" s="101"/>
      <c r="MX3" s="101"/>
      <c r="MY3" s="101"/>
      <c r="MZ3" s="101"/>
      <c r="NA3" s="101"/>
      <c r="NB3" s="101"/>
      <c r="NC3" s="101"/>
      <c r="ND3" s="101"/>
      <c r="NE3" s="101"/>
      <c r="NF3" s="101"/>
      <c r="NG3" s="101"/>
      <c r="NH3" s="101"/>
      <c r="NI3" s="101"/>
      <c r="NJ3" s="101"/>
      <c r="NK3" s="101"/>
      <c r="NL3" s="101"/>
      <c r="NM3" s="101"/>
      <c r="NN3" s="101"/>
      <c r="NO3" s="101"/>
      <c r="NP3" s="101"/>
      <c r="NQ3" s="101"/>
      <c r="NR3" s="101"/>
      <c r="NS3" s="101"/>
      <c r="NT3" s="101"/>
      <c r="NU3" s="101"/>
      <c r="NV3" s="101"/>
      <c r="NW3" s="101"/>
      <c r="NX3" s="101"/>
      <c r="NY3" s="101"/>
      <c r="NZ3" s="101"/>
      <c r="OA3" s="101"/>
      <c r="OB3" s="101"/>
      <c r="OC3" s="101"/>
      <c r="OD3" s="101"/>
      <c r="OE3" s="101"/>
      <c r="OF3" s="101"/>
      <c r="OG3" s="101"/>
      <c r="OH3" s="101"/>
      <c r="OI3" s="101"/>
      <c r="OJ3" s="101"/>
      <c r="OK3" s="101"/>
      <c r="OL3" s="101"/>
      <c r="OM3" s="101"/>
      <c r="ON3" s="101"/>
      <c r="OO3" s="101"/>
      <c r="OP3" s="101"/>
      <c r="OQ3" s="132"/>
      <c r="OR3" s="132"/>
      <c r="OS3" s="132"/>
      <c r="OT3" s="132"/>
      <c r="OU3" s="101"/>
      <c r="OV3" s="101"/>
      <c r="OW3" s="101"/>
      <c r="OX3" s="101"/>
      <c r="OY3" s="101"/>
      <c r="OZ3" s="101"/>
      <c r="PA3" s="101"/>
      <c r="PB3" s="101"/>
      <c r="PC3" s="101"/>
      <c r="PD3" s="101"/>
      <c r="PE3" s="101"/>
      <c r="PF3" s="101"/>
      <c r="PG3" s="101"/>
      <c r="PH3" s="101"/>
      <c r="PI3" s="101"/>
      <c r="PJ3" s="101"/>
      <c r="PK3" s="101"/>
      <c r="PL3" s="101"/>
      <c r="PM3" s="101"/>
      <c r="PN3" s="101"/>
      <c r="PO3" s="101"/>
      <c r="PP3" s="101"/>
      <c r="PQ3" s="101"/>
      <c r="PR3" s="101"/>
      <c r="PS3" s="101"/>
      <c r="PT3" s="101"/>
      <c r="PU3" s="101"/>
      <c r="PV3" s="101"/>
      <c r="PW3" s="101"/>
      <c r="PX3" s="101"/>
      <c r="PY3" s="101"/>
      <c r="PZ3" s="101"/>
      <c r="QA3" s="101"/>
      <c r="QB3" s="101"/>
      <c r="QC3" s="101"/>
      <c r="QD3" s="101"/>
      <c r="QE3" s="101"/>
      <c r="QF3" s="101"/>
      <c r="QG3" s="101"/>
      <c r="QH3" s="101"/>
      <c r="QI3" s="101"/>
      <c r="QJ3" s="101"/>
      <c r="QK3" s="101"/>
      <c r="QL3" s="101"/>
      <c r="QM3" s="101"/>
      <c r="QN3" s="101"/>
      <c r="QO3" s="101"/>
      <c r="QP3" s="101"/>
      <c r="QQ3" s="101"/>
      <c r="QR3" s="101"/>
      <c r="QS3" s="101"/>
      <c r="QT3" s="101"/>
      <c r="QU3" s="101"/>
      <c r="QV3" s="101"/>
      <c r="QW3" s="101"/>
      <c r="QX3" s="101"/>
      <c r="QY3" s="101"/>
      <c r="QZ3" s="101"/>
      <c r="RA3" s="101"/>
      <c r="RB3" s="101"/>
      <c r="RC3" s="101"/>
      <c r="RD3" s="101"/>
      <c r="RE3" s="101"/>
      <c r="RF3" s="101"/>
      <c r="RG3" s="101"/>
      <c r="RH3" s="101"/>
      <c r="RI3" s="101"/>
      <c r="RJ3" s="101"/>
      <c r="RK3" s="101"/>
      <c r="RL3" s="101"/>
      <c r="RM3" s="101"/>
      <c r="RN3" s="101"/>
    </row>
    <row r="4" spans="1:482" ht="6.75" customHeight="1" x14ac:dyDescent="0.2">
      <c r="A4" s="120"/>
      <c r="B4" s="68"/>
      <c r="C4" s="68"/>
      <c r="D4" s="112"/>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12" t="s">
        <v>912</v>
      </c>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c r="NY4" s="135"/>
      <c r="NZ4" s="135"/>
      <c r="OA4" s="135"/>
      <c r="OB4" s="135"/>
      <c r="OC4" s="135"/>
      <c r="OD4" s="135"/>
      <c r="OE4" s="135"/>
      <c r="OF4" s="135"/>
      <c r="OG4" s="135"/>
      <c r="OH4" s="135"/>
      <c r="OI4" s="135"/>
      <c r="OJ4" s="135"/>
      <c r="OK4" s="135"/>
      <c r="OL4" s="135"/>
      <c r="OM4" s="135"/>
      <c r="ON4" s="135"/>
      <c r="OO4" s="135"/>
      <c r="OP4" s="135"/>
      <c r="OQ4" s="135"/>
      <c r="OR4" s="135"/>
      <c r="OS4" s="135"/>
      <c r="OT4" s="135"/>
      <c r="OU4" s="135"/>
      <c r="OV4" s="135"/>
      <c r="OW4" s="135"/>
      <c r="OX4" s="135"/>
      <c r="OY4" s="135"/>
      <c r="OZ4" s="135"/>
      <c r="PA4" s="135"/>
      <c r="PB4" s="135"/>
      <c r="PC4" s="135"/>
      <c r="PD4" s="135"/>
      <c r="PE4" s="135"/>
      <c r="PF4" s="135"/>
      <c r="PG4" s="135"/>
      <c r="PH4" s="135"/>
      <c r="PI4" s="135"/>
      <c r="PJ4" s="135"/>
      <c r="PK4" s="135"/>
      <c r="PL4" s="135"/>
      <c r="PM4" s="135"/>
      <c r="PN4" s="135"/>
      <c r="PO4" s="135"/>
      <c r="PP4" s="135"/>
      <c r="PQ4" s="135"/>
      <c r="PR4" s="135"/>
      <c r="PS4" s="135"/>
      <c r="PT4" s="135"/>
      <c r="PU4" s="135"/>
      <c r="PV4" s="135"/>
      <c r="PW4" s="135"/>
      <c r="PX4" s="135"/>
      <c r="PY4" s="135"/>
      <c r="PZ4" s="135"/>
      <c r="QA4" s="135"/>
      <c r="QB4" s="135"/>
      <c r="QC4" s="135"/>
      <c r="QD4" s="135"/>
      <c r="QE4" s="135"/>
      <c r="QF4" s="135"/>
      <c r="QG4" s="135"/>
      <c r="QH4" s="135"/>
      <c r="QI4" s="135"/>
      <c r="QJ4" s="135"/>
      <c r="QK4" s="135"/>
      <c r="QL4" s="135"/>
      <c r="QM4" s="135"/>
      <c r="QN4" s="135"/>
      <c r="QO4" s="135"/>
      <c r="QP4" s="135"/>
      <c r="QQ4" s="135"/>
      <c r="QR4" s="135"/>
      <c r="QS4" s="135"/>
      <c r="QT4" s="135"/>
      <c r="QU4" s="135"/>
      <c r="QV4" s="135"/>
      <c r="QW4" s="135"/>
      <c r="QX4" s="135"/>
      <c r="QY4" s="135"/>
      <c r="QZ4" s="135"/>
      <c r="RA4" s="135"/>
      <c r="RB4" s="135"/>
      <c r="RC4" s="135"/>
      <c r="RD4" s="135"/>
      <c r="RE4" s="135"/>
      <c r="RF4" s="135"/>
      <c r="RG4" s="135"/>
      <c r="RH4" s="135"/>
      <c r="RI4" s="135"/>
      <c r="RJ4" s="135"/>
      <c r="RK4" s="135"/>
      <c r="RL4" s="135"/>
      <c r="RM4" s="135"/>
      <c r="RN4" s="135"/>
    </row>
    <row r="5" spans="1:482" s="152" customFormat="1" ht="11.25" customHeight="1" x14ac:dyDescent="0.2">
      <c r="A5" s="167" t="s">
        <v>837</v>
      </c>
      <c r="B5" s="170" t="s">
        <v>0</v>
      </c>
      <c r="C5" s="170"/>
      <c r="D5" s="150"/>
      <c r="E5" s="150">
        <v>1</v>
      </c>
      <c r="F5" s="150">
        <v>2</v>
      </c>
      <c r="G5" s="150">
        <v>3</v>
      </c>
      <c r="H5" s="150">
        <v>4</v>
      </c>
      <c r="I5" s="150">
        <v>5</v>
      </c>
      <c r="J5" s="150">
        <v>6</v>
      </c>
      <c r="K5" s="150">
        <v>7</v>
      </c>
      <c r="L5" s="150">
        <v>8</v>
      </c>
      <c r="M5" s="150">
        <v>9</v>
      </c>
      <c r="N5" s="150">
        <v>10</v>
      </c>
      <c r="O5" s="150">
        <v>11</v>
      </c>
      <c r="P5" s="150">
        <v>12</v>
      </c>
      <c r="Q5" s="150">
        <v>13</v>
      </c>
      <c r="R5" s="150">
        <v>14</v>
      </c>
      <c r="S5" s="150">
        <v>15</v>
      </c>
      <c r="T5" s="150">
        <v>16</v>
      </c>
      <c r="U5" s="150">
        <v>17</v>
      </c>
      <c r="V5" s="150">
        <v>18</v>
      </c>
      <c r="W5" s="150">
        <v>19</v>
      </c>
      <c r="X5" s="150">
        <v>20</v>
      </c>
      <c r="Y5" s="150">
        <v>21</v>
      </c>
      <c r="Z5" s="150">
        <v>22</v>
      </c>
      <c r="AA5" s="150">
        <v>23</v>
      </c>
      <c r="AB5" s="150">
        <v>24</v>
      </c>
      <c r="AC5" s="150">
        <v>25</v>
      </c>
      <c r="AD5" s="150">
        <v>26</v>
      </c>
      <c r="AE5" s="150">
        <v>27</v>
      </c>
      <c r="AF5" s="150">
        <v>28</v>
      </c>
      <c r="AG5" s="150">
        <v>29</v>
      </c>
      <c r="AH5" s="150">
        <v>30</v>
      </c>
      <c r="AI5" s="150">
        <v>31</v>
      </c>
      <c r="AJ5" s="150">
        <v>32</v>
      </c>
      <c r="AK5" s="150">
        <v>33</v>
      </c>
      <c r="AL5" s="150">
        <v>34</v>
      </c>
      <c r="AM5" s="150">
        <v>35</v>
      </c>
      <c r="AN5" s="150">
        <v>36</v>
      </c>
      <c r="AO5" s="150">
        <v>37</v>
      </c>
      <c r="AP5" s="150">
        <v>38</v>
      </c>
      <c r="AQ5" s="150">
        <v>39</v>
      </c>
      <c r="AR5" s="150">
        <v>40</v>
      </c>
      <c r="AS5" s="150">
        <v>41</v>
      </c>
      <c r="AT5" s="150">
        <v>42</v>
      </c>
      <c r="AU5" s="150">
        <v>43</v>
      </c>
      <c r="AV5" s="150">
        <v>44</v>
      </c>
      <c r="AW5" s="150">
        <v>45</v>
      </c>
      <c r="AX5" s="150">
        <v>46</v>
      </c>
      <c r="AY5" s="150">
        <v>47</v>
      </c>
      <c r="AZ5" s="150">
        <v>48</v>
      </c>
      <c r="BA5" s="150">
        <v>49</v>
      </c>
      <c r="BB5" s="150">
        <v>50</v>
      </c>
      <c r="BC5" s="150">
        <v>51</v>
      </c>
      <c r="BD5" s="150">
        <v>52</v>
      </c>
      <c r="BE5" s="150">
        <v>53</v>
      </c>
      <c r="BF5" s="150">
        <v>54</v>
      </c>
      <c r="BG5" s="150">
        <v>55</v>
      </c>
      <c r="BH5" s="150">
        <v>56</v>
      </c>
      <c r="BI5" s="150">
        <v>57</v>
      </c>
      <c r="BJ5" s="150">
        <v>58</v>
      </c>
      <c r="BK5" s="150" t="s">
        <v>913</v>
      </c>
      <c r="BL5" s="151">
        <v>60</v>
      </c>
      <c r="BM5" s="151">
        <v>61</v>
      </c>
      <c r="BN5" s="151">
        <v>62</v>
      </c>
      <c r="BO5" s="151">
        <v>63</v>
      </c>
      <c r="BP5" s="151">
        <v>64</v>
      </c>
      <c r="BQ5" s="151">
        <v>65</v>
      </c>
      <c r="BR5" s="151">
        <v>66</v>
      </c>
      <c r="BS5" s="151">
        <v>67</v>
      </c>
      <c r="BT5" s="151">
        <v>68</v>
      </c>
      <c r="BU5" s="151">
        <v>69</v>
      </c>
      <c r="BV5" s="151">
        <v>70</v>
      </c>
      <c r="BW5" s="151">
        <v>71</v>
      </c>
      <c r="BX5" s="151">
        <v>72</v>
      </c>
      <c r="BY5" s="151">
        <v>73</v>
      </c>
      <c r="BZ5" s="151">
        <v>74</v>
      </c>
      <c r="CA5" s="151">
        <v>75</v>
      </c>
      <c r="CB5" s="151">
        <v>76</v>
      </c>
      <c r="CC5" s="151">
        <v>77</v>
      </c>
      <c r="CD5" s="151">
        <v>78</v>
      </c>
      <c r="CE5" s="151">
        <v>79</v>
      </c>
      <c r="CF5" s="151">
        <v>80</v>
      </c>
      <c r="CG5" s="151">
        <v>81</v>
      </c>
      <c r="CH5" s="151">
        <v>82</v>
      </c>
      <c r="CI5" s="151">
        <v>83</v>
      </c>
      <c r="CJ5" s="151">
        <v>84</v>
      </c>
      <c r="CK5" s="151">
        <v>85</v>
      </c>
      <c r="CL5" s="151">
        <v>86</v>
      </c>
      <c r="CM5" s="151">
        <v>87</v>
      </c>
      <c r="CN5" s="151">
        <v>88</v>
      </c>
      <c r="CO5" s="151">
        <v>89</v>
      </c>
      <c r="CP5" s="151">
        <v>90</v>
      </c>
      <c r="CQ5" s="151">
        <v>91</v>
      </c>
      <c r="CR5" s="151">
        <v>92</v>
      </c>
      <c r="CS5" s="151">
        <v>93</v>
      </c>
      <c r="CT5" s="151">
        <v>94</v>
      </c>
      <c r="CU5" s="151">
        <v>95</v>
      </c>
      <c r="CV5" s="151">
        <v>96</v>
      </c>
      <c r="CW5" s="151">
        <v>97</v>
      </c>
      <c r="CX5" s="151">
        <v>98</v>
      </c>
      <c r="CY5" s="151">
        <v>99</v>
      </c>
      <c r="CZ5" s="151">
        <v>100</v>
      </c>
      <c r="DA5" s="151">
        <v>101</v>
      </c>
      <c r="DB5" s="151">
        <v>102</v>
      </c>
      <c r="DC5" s="151">
        <v>103</v>
      </c>
      <c r="DD5" s="151">
        <v>104</v>
      </c>
      <c r="DE5" s="151">
        <v>105</v>
      </c>
      <c r="DF5" s="151">
        <v>106</v>
      </c>
      <c r="DG5" s="151">
        <v>107</v>
      </c>
      <c r="DH5" s="151">
        <v>108</v>
      </c>
      <c r="DI5" s="151">
        <v>109</v>
      </c>
      <c r="DJ5" s="151">
        <v>110</v>
      </c>
      <c r="DK5" s="151">
        <v>111</v>
      </c>
      <c r="DL5" s="151">
        <v>112</v>
      </c>
      <c r="DM5" s="151">
        <v>113</v>
      </c>
      <c r="DN5" s="151">
        <v>114</v>
      </c>
      <c r="DO5" s="151">
        <v>115</v>
      </c>
      <c r="DP5" s="151">
        <v>116</v>
      </c>
      <c r="DQ5" s="151">
        <v>117</v>
      </c>
      <c r="DR5" s="151">
        <v>118</v>
      </c>
      <c r="DS5" s="151">
        <v>119</v>
      </c>
      <c r="DT5" s="151">
        <v>120</v>
      </c>
      <c r="DU5" s="151">
        <v>121</v>
      </c>
      <c r="DV5" s="151">
        <v>122</v>
      </c>
      <c r="DW5" s="151">
        <v>123</v>
      </c>
      <c r="DX5" s="151">
        <v>124</v>
      </c>
      <c r="DY5" s="151">
        <v>125</v>
      </c>
      <c r="DZ5" s="151">
        <v>126</v>
      </c>
      <c r="EA5" s="151">
        <v>127</v>
      </c>
      <c r="EB5" s="151">
        <v>128</v>
      </c>
      <c r="EC5" s="151">
        <v>129</v>
      </c>
      <c r="ED5" s="151">
        <v>130</v>
      </c>
      <c r="EE5" s="151">
        <v>131</v>
      </c>
      <c r="EF5" s="151">
        <v>132</v>
      </c>
      <c r="EG5" s="151">
        <v>133</v>
      </c>
      <c r="EH5" s="151">
        <v>134</v>
      </c>
      <c r="EI5" s="151">
        <v>135</v>
      </c>
      <c r="EJ5" s="151">
        <v>136</v>
      </c>
      <c r="EK5" s="151">
        <v>137</v>
      </c>
      <c r="EL5" s="151">
        <v>138</v>
      </c>
      <c r="EM5" s="151">
        <v>139</v>
      </c>
      <c r="EN5" s="151">
        <v>140</v>
      </c>
      <c r="EO5" s="151">
        <v>141</v>
      </c>
      <c r="EP5" s="151">
        <v>142</v>
      </c>
      <c r="EQ5" s="151">
        <v>143</v>
      </c>
      <c r="ER5" s="151">
        <v>144</v>
      </c>
      <c r="ES5" s="151">
        <v>145</v>
      </c>
      <c r="ET5" s="151">
        <v>146</v>
      </c>
      <c r="EU5" s="151">
        <v>147</v>
      </c>
      <c r="EV5" s="151">
        <v>148</v>
      </c>
      <c r="EW5" s="151">
        <v>149</v>
      </c>
      <c r="EX5" s="151">
        <v>150</v>
      </c>
      <c r="EY5" s="151">
        <v>151</v>
      </c>
      <c r="EZ5" s="151">
        <v>152</v>
      </c>
      <c r="FA5" s="151">
        <v>153</v>
      </c>
      <c r="FB5" s="151">
        <v>154</v>
      </c>
      <c r="FC5" s="151">
        <v>155</v>
      </c>
      <c r="FD5" s="151">
        <v>156</v>
      </c>
      <c r="FE5" s="151">
        <v>157</v>
      </c>
      <c r="FF5" s="151">
        <v>158</v>
      </c>
      <c r="FG5" s="151">
        <v>159</v>
      </c>
      <c r="FH5" s="151">
        <v>160</v>
      </c>
      <c r="FI5" s="151">
        <v>161</v>
      </c>
      <c r="FJ5" s="151">
        <v>162</v>
      </c>
      <c r="FK5" s="151">
        <v>163</v>
      </c>
      <c r="FL5" s="151">
        <v>164</v>
      </c>
      <c r="FM5" s="151">
        <v>165</v>
      </c>
      <c r="FN5" s="151">
        <v>166</v>
      </c>
      <c r="FO5" s="151">
        <v>167</v>
      </c>
      <c r="FP5" s="151">
        <v>168</v>
      </c>
      <c r="FQ5" s="151">
        <v>169</v>
      </c>
      <c r="FR5" s="151">
        <v>170</v>
      </c>
      <c r="FS5" s="151">
        <v>171</v>
      </c>
      <c r="FT5" s="151">
        <v>172</v>
      </c>
      <c r="FU5" s="151">
        <v>173</v>
      </c>
      <c r="FV5" s="151">
        <v>174</v>
      </c>
      <c r="FW5" s="151">
        <v>175</v>
      </c>
      <c r="FX5" s="151">
        <v>176</v>
      </c>
      <c r="FY5" s="151">
        <v>177</v>
      </c>
      <c r="FZ5" s="151">
        <v>178</v>
      </c>
      <c r="GA5" s="151">
        <v>179</v>
      </c>
      <c r="GB5" s="151">
        <v>180</v>
      </c>
      <c r="GC5" s="151">
        <v>181</v>
      </c>
      <c r="GD5" s="151">
        <v>182</v>
      </c>
      <c r="GE5" s="151">
        <v>183</v>
      </c>
      <c r="GF5" s="151">
        <v>184</v>
      </c>
      <c r="GG5" s="151">
        <v>185</v>
      </c>
      <c r="GH5" s="151">
        <v>186</v>
      </c>
      <c r="GI5" s="151">
        <v>187</v>
      </c>
      <c r="GJ5" s="151">
        <v>188</v>
      </c>
      <c r="GK5" s="151">
        <v>189</v>
      </c>
      <c r="GL5" s="151">
        <v>190</v>
      </c>
      <c r="GM5" s="151">
        <v>191</v>
      </c>
      <c r="GN5" s="151">
        <v>192</v>
      </c>
      <c r="GO5" s="151">
        <v>193</v>
      </c>
      <c r="GP5" s="151">
        <v>194</v>
      </c>
      <c r="GQ5" s="151">
        <v>195</v>
      </c>
      <c r="GR5" s="151">
        <v>196</v>
      </c>
      <c r="GS5" s="151">
        <v>197</v>
      </c>
      <c r="GT5" s="151">
        <v>198</v>
      </c>
      <c r="GU5" s="151">
        <v>199</v>
      </c>
      <c r="GV5" s="151">
        <v>200</v>
      </c>
      <c r="GW5" s="151">
        <v>201</v>
      </c>
      <c r="GX5" s="151">
        <v>202</v>
      </c>
      <c r="GY5" s="151">
        <v>203</v>
      </c>
      <c r="GZ5" s="151">
        <v>204</v>
      </c>
      <c r="HA5" s="151">
        <v>205</v>
      </c>
      <c r="HB5" s="151">
        <v>206</v>
      </c>
      <c r="HC5" s="151">
        <v>207</v>
      </c>
      <c r="HD5" s="151">
        <v>208</v>
      </c>
      <c r="HE5" s="151">
        <v>209</v>
      </c>
      <c r="HF5" s="151">
        <v>210</v>
      </c>
      <c r="HG5" s="151">
        <v>211</v>
      </c>
      <c r="HH5" s="151">
        <v>212</v>
      </c>
      <c r="HI5" s="151">
        <v>213</v>
      </c>
      <c r="HJ5" s="151">
        <v>214</v>
      </c>
      <c r="HK5" s="151">
        <v>215</v>
      </c>
      <c r="HL5" s="151">
        <v>216</v>
      </c>
      <c r="HM5" s="151">
        <v>217</v>
      </c>
      <c r="HN5" s="151">
        <v>218</v>
      </c>
      <c r="HO5" s="151">
        <v>219</v>
      </c>
      <c r="HP5" s="151">
        <v>220</v>
      </c>
      <c r="HQ5" s="151">
        <v>221</v>
      </c>
      <c r="HR5" s="151">
        <v>222</v>
      </c>
      <c r="HS5" s="151">
        <v>223</v>
      </c>
      <c r="HT5" s="151">
        <v>224</v>
      </c>
      <c r="HU5" s="151">
        <v>225</v>
      </c>
      <c r="HV5" s="151">
        <v>226</v>
      </c>
      <c r="HW5" s="151">
        <v>227</v>
      </c>
      <c r="HX5" s="151">
        <v>228</v>
      </c>
      <c r="HY5" s="151">
        <v>229</v>
      </c>
      <c r="HZ5" s="151">
        <v>230</v>
      </c>
      <c r="IA5" s="151">
        <v>231</v>
      </c>
      <c r="IB5" s="151">
        <v>232</v>
      </c>
      <c r="IC5" s="151">
        <v>233</v>
      </c>
      <c r="ID5" s="151">
        <v>234</v>
      </c>
      <c r="IE5" s="151">
        <v>235</v>
      </c>
      <c r="IF5" s="151">
        <v>236</v>
      </c>
      <c r="IG5" s="151">
        <v>237</v>
      </c>
      <c r="IH5" s="151">
        <v>238</v>
      </c>
      <c r="II5" s="151">
        <v>239</v>
      </c>
      <c r="IJ5" s="151">
        <v>240</v>
      </c>
      <c r="IK5" s="151">
        <v>241</v>
      </c>
      <c r="IL5" s="151">
        <v>242</v>
      </c>
      <c r="IM5" s="151">
        <v>243</v>
      </c>
      <c r="IN5" s="151">
        <v>244</v>
      </c>
      <c r="IO5" s="151">
        <v>245</v>
      </c>
      <c r="IP5" s="151">
        <v>246</v>
      </c>
      <c r="IQ5" s="151">
        <v>247</v>
      </c>
      <c r="IR5" s="151">
        <v>248</v>
      </c>
      <c r="IS5" s="151">
        <v>249</v>
      </c>
      <c r="IT5" s="151">
        <v>250</v>
      </c>
      <c r="IU5" s="151">
        <v>251</v>
      </c>
      <c r="IV5" s="151">
        <v>252</v>
      </c>
      <c r="IW5" s="151">
        <v>253</v>
      </c>
      <c r="IX5" s="151">
        <v>254</v>
      </c>
      <c r="IY5" s="151">
        <v>255</v>
      </c>
      <c r="IZ5" s="151">
        <v>256</v>
      </c>
      <c r="JA5" s="151">
        <v>257</v>
      </c>
      <c r="JB5" s="151">
        <v>258</v>
      </c>
      <c r="JC5" s="151">
        <v>259</v>
      </c>
      <c r="JD5" s="151">
        <v>260</v>
      </c>
      <c r="JE5" s="151">
        <v>261</v>
      </c>
      <c r="JF5" s="151">
        <v>262</v>
      </c>
      <c r="JG5" s="151">
        <v>263</v>
      </c>
      <c r="JH5" s="151">
        <v>264</v>
      </c>
      <c r="JI5" s="151">
        <v>265</v>
      </c>
      <c r="JJ5" s="151">
        <v>266</v>
      </c>
      <c r="JK5" s="151">
        <v>267</v>
      </c>
      <c r="JL5" s="151">
        <v>268</v>
      </c>
      <c r="JM5" s="151">
        <v>269</v>
      </c>
      <c r="JN5" s="151">
        <v>270</v>
      </c>
      <c r="JO5" s="151">
        <v>271</v>
      </c>
      <c r="JP5" s="151">
        <v>272</v>
      </c>
      <c r="JQ5" s="151">
        <v>273</v>
      </c>
      <c r="JR5" s="151">
        <v>274</v>
      </c>
      <c r="JS5" s="151">
        <v>275</v>
      </c>
      <c r="JT5" s="151">
        <v>276</v>
      </c>
      <c r="JU5" s="151">
        <v>277</v>
      </c>
      <c r="JV5" s="151">
        <v>278</v>
      </c>
      <c r="JW5" s="151">
        <v>279</v>
      </c>
      <c r="JX5" s="151">
        <v>280</v>
      </c>
      <c r="JY5" s="151">
        <v>281</v>
      </c>
      <c r="JZ5" s="151">
        <v>282</v>
      </c>
      <c r="KA5" s="151">
        <v>283</v>
      </c>
      <c r="KB5" s="151">
        <v>284</v>
      </c>
      <c r="KC5" s="151">
        <v>285</v>
      </c>
      <c r="KD5" s="151">
        <v>286</v>
      </c>
      <c r="KE5" s="151">
        <v>287</v>
      </c>
      <c r="KF5" s="151">
        <v>288</v>
      </c>
      <c r="KG5" s="151">
        <v>289</v>
      </c>
      <c r="KH5" s="151">
        <v>290</v>
      </c>
      <c r="KI5" s="151">
        <v>291</v>
      </c>
      <c r="KJ5" s="151">
        <v>292</v>
      </c>
      <c r="KK5" s="151">
        <v>293</v>
      </c>
      <c r="KL5" s="151">
        <v>294</v>
      </c>
      <c r="KM5" s="151">
        <v>295</v>
      </c>
      <c r="KN5" s="151">
        <v>296</v>
      </c>
      <c r="KO5" s="151">
        <v>297</v>
      </c>
      <c r="KP5" s="151">
        <v>298</v>
      </c>
      <c r="KQ5" s="151">
        <v>299</v>
      </c>
      <c r="KR5" s="151">
        <v>300</v>
      </c>
      <c r="KS5" s="151">
        <v>301</v>
      </c>
      <c r="KT5" s="151">
        <v>302</v>
      </c>
      <c r="KU5" s="151">
        <v>303</v>
      </c>
      <c r="KV5" s="151">
        <v>304</v>
      </c>
      <c r="KW5" s="151">
        <v>305</v>
      </c>
      <c r="KX5" s="151">
        <v>306</v>
      </c>
      <c r="KY5" s="151">
        <v>307</v>
      </c>
      <c r="KZ5" s="151">
        <v>308</v>
      </c>
      <c r="LA5" s="151">
        <v>309</v>
      </c>
      <c r="LB5" s="151">
        <v>310</v>
      </c>
      <c r="LC5" s="151">
        <v>311</v>
      </c>
      <c r="LD5" s="151">
        <v>312</v>
      </c>
      <c r="LE5" s="151">
        <v>313</v>
      </c>
      <c r="LF5" s="151">
        <v>314</v>
      </c>
      <c r="LG5" s="151">
        <v>315</v>
      </c>
      <c r="LH5" s="151">
        <v>316</v>
      </c>
      <c r="LI5" s="151">
        <v>317</v>
      </c>
      <c r="LJ5" s="151">
        <v>318</v>
      </c>
      <c r="LK5" s="151">
        <v>319</v>
      </c>
      <c r="LL5" s="151">
        <v>320</v>
      </c>
      <c r="LM5" s="151">
        <v>321</v>
      </c>
      <c r="LN5" s="151">
        <v>322</v>
      </c>
      <c r="LO5" s="151">
        <v>323</v>
      </c>
      <c r="LP5" s="151">
        <v>324</v>
      </c>
      <c r="LQ5" s="151">
        <v>325</v>
      </c>
      <c r="LR5" s="151">
        <v>326</v>
      </c>
      <c r="LS5" s="151">
        <v>327</v>
      </c>
      <c r="LT5" s="151">
        <v>328</v>
      </c>
      <c r="LU5" s="151">
        <v>329</v>
      </c>
      <c r="LV5" s="151">
        <v>330</v>
      </c>
      <c r="LW5" s="151">
        <v>331</v>
      </c>
      <c r="LX5" s="151">
        <v>332</v>
      </c>
      <c r="LY5" s="151">
        <v>333</v>
      </c>
      <c r="LZ5" s="151">
        <v>334</v>
      </c>
      <c r="MA5" s="151">
        <v>335</v>
      </c>
      <c r="MB5" s="151">
        <v>336</v>
      </c>
      <c r="MC5" s="151">
        <v>337</v>
      </c>
      <c r="MD5" s="151">
        <v>338</v>
      </c>
      <c r="ME5" s="151">
        <v>339</v>
      </c>
      <c r="MF5" s="151">
        <v>340</v>
      </c>
      <c r="MG5" s="151">
        <v>341</v>
      </c>
      <c r="MH5" s="151">
        <v>342</v>
      </c>
      <c r="MI5" s="151">
        <v>343</v>
      </c>
      <c r="MJ5" s="151">
        <v>344</v>
      </c>
      <c r="MK5" s="151">
        <v>345</v>
      </c>
      <c r="ML5" s="151">
        <v>346</v>
      </c>
      <c r="MM5" s="151">
        <v>347</v>
      </c>
      <c r="MN5" s="151">
        <v>348</v>
      </c>
      <c r="MO5" s="151">
        <v>349</v>
      </c>
      <c r="MP5" s="151">
        <v>350</v>
      </c>
      <c r="MQ5" s="151">
        <v>351</v>
      </c>
      <c r="MR5" s="151">
        <v>352</v>
      </c>
      <c r="MS5" s="151">
        <v>353</v>
      </c>
      <c r="MT5" s="151">
        <v>354</v>
      </c>
      <c r="MU5" s="151">
        <v>355</v>
      </c>
      <c r="MV5" s="151">
        <v>356</v>
      </c>
      <c r="MW5" s="151">
        <v>357</v>
      </c>
      <c r="MX5" s="151">
        <v>358</v>
      </c>
      <c r="MY5" s="151">
        <v>359</v>
      </c>
      <c r="MZ5" s="151">
        <v>360</v>
      </c>
      <c r="NA5" s="151">
        <v>361</v>
      </c>
      <c r="NB5" s="151">
        <v>362</v>
      </c>
      <c r="NC5" s="151">
        <v>363</v>
      </c>
      <c r="ND5" s="151">
        <v>364</v>
      </c>
      <c r="NE5" s="151">
        <v>365</v>
      </c>
      <c r="NF5" s="151">
        <v>366</v>
      </c>
      <c r="NG5" s="151">
        <v>367</v>
      </c>
      <c r="NH5" s="151">
        <v>368</v>
      </c>
      <c r="NI5" s="151">
        <v>369</v>
      </c>
      <c r="NJ5" s="151">
        <v>370</v>
      </c>
      <c r="NK5" s="151">
        <v>371</v>
      </c>
      <c r="NL5" s="151">
        <v>372</v>
      </c>
      <c r="NM5" s="151">
        <v>373</v>
      </c>
      <c r="NN5" s="151">
        <v>374</v>
      </c>
      <c r="NO5" s="151">
        <v>375</v>
      </c>
      <c r="NP5" s="151">
        <v>376</v>
      </c>
      <c r="NQ5" s="151">
        <v>377</v>
      </c>
      <c r="NR5" s="151">
        <v>378</v>
      </c>
      <c r="NS5" s="151">
        <v>379</v>
      </c>
      <c r="NT5" s="151">
        <v>380</v>
      </c>
      <c r="NU5" s="151">
        <v>381</v>
      </c>
      <c r="NV5" s="151">
        <v>382</v>
      </c>
      <c r="NW5" s="151">
        <v>383</v>
      </c>
      <c r="NX5" s="151">
        <v>384</v>
      </c>
      <c r="NY5" s="151">
        <v>385</v>
      </c>
      <c r="NZ5" s="151">
        <v>386</v>
      </c>
      <c r="OA5" s="151">
        <v>387</v>
      </c>
      <c r="OB5" s="151">
        <v>388</v>
      </c>
      <c r="OC5" s="151">
        <v>389</v>
      </c>
      <c r="OD5" s="151">
        <v>390</v>
      </c>
      <c r="OE5" s="151">
        <v>391</v>
      </c>
      <c r="OF5" s="151">
        <v>392</v>
      </c>
      <c r="OG5" s="151">
        <v>393</v>
      </c>
      <c r="OH5" s="151">
        <v>394</v>
      </c>
      <c r="OI5" s="151">
        <v>395</v>
      </c>
      <c r="OJ5" s="151">
        <v>396</v>
      </c>
      <c r="OK5" s="151">
        <v>397</v>
      </c>
      <c r="OL5" s="151">
        <v>398</v>
      </c>
      <c r="OM5" s="151">
        <v>399</v>
      </c>
      <c r="ON5" s="151">
        <v>400</v>
      </c>
      <c r="OO5" s="151">
        <v>401</v>
      </c>
      <c r="OP5" s="151">
        <v>402</v>
      </c>
      <c r="OQ5" s="151">
        <v>403</v>
      </c>
      <c r="OR5" s="151">
        <v>404</v>
      </c>
      <c r="OS5" s="151">
        <v>405</v>
      </c>
      <c r="OT5" s="151">
        <v>406</v>
      </c>
      <c r="OU5" s="151">
        <v>407</v>
      </c>
      <c r="OV5" s="151">
        <v>408</v>
      </c>
      <c r="OW5" s="151">
        <v>409</v>
      </c>
      <c r="OX5" s="151">
        <v>410</v>
      </c>
      <c r="OY5" s="151">
        <v>411</v>
      </c>
      <c r="OZ5" s="151">
        <v>412</v>
      </c>
      <c r="PA5" s="151">
        <v>413</v>
      </c>
      <c r="PB5" s="151">
        <v>414</v>
      </c>
      <c r="PC5" s="151">
        <v>415</v>
      </c>
      <c r="PD5" s="151">
        <v>416</v>
      </c>
      <c r="PE5" s="151">
        <v>417</v>
      </c>
      <c r="PF5" s="151">
        <v>418</v>
      </c>
      <c r="PG5" s="151">
        <v>419</v>
      </c>
      <c r="PH5" s="151">
        <v>420</v>
      </c>
      <c r="PI5" s="151">
        <v>421</v>
      </c>
      <c r="PJ5" s="151">
        <v>422</v>
      </c>
      <c r="PK5" s="151">
        <v>423</v>
      </c>
      <c r="PL5" s="151">
        <v>424</v>
      </c>
      <c r="PM5" s="151">
        <v>425</v>
      </c>
      <c r="PN5" s="151">
        <v>426</v>
      </c>
      <c r="PO5" s="151">
        <v>427</v>
      </c>
      <c r="PP5" s="151">
        <v>428</v>
      </c>
      <c r="PQ5" s="151">
        <v>429</v>
      </c>
      <c r="PR5" s="151">
        <v>430</v>
      </c>
      <c r="PS5" s="151">
        <v>431</v>
      </c>
      <c r="PT5" s="151">
        <v>432</v>
      </c>
      <c r="PU5" s="151">
        <v>433</v>
      </c>
      <c r="PV5" s="151">
        <v>434</v>
      </c>
      <c r="PW5" s="151">
        <v>435</v>
      </c>
      <c r="PX5" s="151">
        <v>436</v>
      </c>
      <c r="PY5" s="151">
        <v>437</v>
      </c>
      <c r="PZ5" s="151">
        <v>438</v>
      </c>
      <c r="QA5" s="151">
        <v>439</v>
      </c>
      <c r="QB5" s="151">
        <v>440</v>
      </c>
      <c r="QC5" s="151">
        <v>441</v>
      </c>
      <c r="QD5" s="151">
        <v>442</v>
      </c>
      <c r="QE5" s="151">
        <v>443</v>
      </c>
      <c r="QF5" s="151">
        <v>444</v>
      </c>
      <c r="QG5" s="151">
        <v>445</v>
      </c>
      <c r="QH5" s="151">
        <v>446</v>
      </c>
      <c r="QI5" s="151">
        <v>447</v>
      </c>
      <c r="QJ5" s="151">
        <v>448</v>
      </c>
      <c r="QK5" s="151">
        <v>449</v>
      </c>
      <c r="QL5" s="151">
        <v>450</v>
      </c>
      <c r="QM5" s="151">
        <v>451</v>
      </c>
      <c r="QN5" s="151">
        <v>452</v>
      </c>
      <c r="QO5" s="151">
        <v>453</v>
      </c>
      <c r="QP5" s="151">
        <v>454</v>
      </c>
      <c r="QQ5" s="151">
        <v>455</v>
      </c>
      <c r="QR5" s="151">
        <v>456</v>
      </c>
      <c r="QS5" s="151">
        <v>457</v>
      </c>
      <c r="QT5" s="151">
        <v>458</v>
      </c>
      <c r="QU5" s="151">
        <v>459</v>
      </c>
      <c r="QV5" s="151">
        <v>460</v>
      </c>
      <c r="QW5" s="151">
        <v>461</v>
      </c>
      <c r="QX5" s="151">
        <v>462</v>
      </c>
      <c r="QY5" s="151">
        <v>463</v>
      </c>
      <c r="QZ5" s="151">
        <v>464</v>
      </c>
      <c r="RA5" s="151">
        <v>465</v>
      </c>
      <c r="RB5" s="151">
        <v>466</v>
      </c>
      <c r="RC5" s="151">
        <v>467</v>
      </c>
      <c r="RD5" s="151">
        <v>468</v>
      </c>
      <c r="RE5" s="151">
        <v>469</v>
      </c>
      <c r="RF5" s="151">
        <v>470</v>
      </c>
      <c r="RG5" s="151">
        <v>471</v>
      </c>
      <c r="RH5" s="151">
        <v>472</v>
      </c>
      <c r="RI5" s="151">
        <v>473</v>
      </c>
      <c r="RJ5" s="151">
        <v>474</v>
      </c>
      <c r="RK5" s="151">
        <v>475</v>
      </c>
      <c r="RL5" s="151">
        <v>476</v>
      </c>
      <c r="RM5" s="151">
        <v>477</v>
      </c>
      <c r="RN5" s="151">
        <v>478</v>
      </c>
    </row>
    <row r="6" spans="1:482" s="152" customFormat="1" ht="11.25" customHeight="1" thickBot="1" x14ac:dyDescent="0.25">
      <c r="A6" s="168"/>
      <c r="B6" s="171" t="s">
        <v>838</v>
      </c>
      <c r="C6" s="171"/>
      <c r="D6" s="172" t="s">
        <v>839</v>
      </c>
      <c r="E6" s="150" t="s">
        <v>1</v>
      </c>
      <c r="F6" s="150" t="s">
        <v>2</v>
      </c>
      <c r="G6" s="150" t="s">
        <v>4</v>
      </c>
      <c r="H6" s="150" t="s">
        <v>5</v>
      </c>
      <c r="I6" s="150" t="s">
        <v>9</v>
      </c>
      <c r="J6" s="150" t="s">
        <v>12</v>
      </c>
      <c r="K6" s="150" t="s">
        <v>13</v>
      </c>
      <c r="L6" s="150" t="s">
        <v>14</v>
      </c>
      <c r="M6" s="150" t="s">
        <v>15</v>
      </c>
      <c r="N6" s="150" t="s">
        <v>16</v>
      </c>
      <c r="O6" s="150" t="s">
        <v>17</v>
      </c>
      <c r="P6" s="150" t="s">
        <v>21</v>
      </c>
      <c r="Q6" s="150" t="s">
        <v>22</v>
      </c>
      <c r="R6" s="150" t="s">
        <v>23</v>
      </c>
      <c r="S6" s="150" t="s">
        <v>27</v>
      </c>
      <c r="T6" s="150" t="s">
        <v>28</v>
      </c>
      <c r="U6" s="150" t="s">
        <v>30</v>
      </c>
      <c r="V6" s="150" t="s">
        <v>31</v>
      </c>
      <c r="W6" s="150" t="s">
        <v>32</v>
      </c>
      <c r="X6" s="150" t="s">
        <v>36</v>
      </c>
      <c r="Y6" s="150" t="s">
        <v>37</v>
      </c>
      <c r="Z6" s="150" t="s">
        <v>38</v>
      </c>
      <c r="AA6" s="150" t="s">
        <v>40</v>
      </c>
      <c r="AB6" s="150" t="s">
        <v>41</v>
      </c>
      <c r="AC6" s="150" t="s">
        <v>45</v>
      </c>
      <c r="AD6" s="150" t="s">
        <v>46</v>
      </c>
      <c r="AE6" s="150" t="s">
        <v>47</v>
      </c>
      <c r="AF6" s="150" t="s">
        <v>49</v>
      </c>
      <c r="AG6" s="150" t="s">
        <v>50</v>
      </c>
      <c r="AH6" s="150">
        <v>3738191</v>
      </c>
      <c r="AI6" s="150" t="s">
        <v>53</v>
      </c>
      <c r="AJ6" s="150" t="s">
        <v>58</v>
      </c>
      <c r="AK6" s="150" t="s">
        <v>59</v>
      </c>
      <c r="AL6" s="150" t="s">
        <v>61</v>
      </c>
      <c r="AM6" s="150" t="s">
        <v>66</v>
      </c>
      <c r="AN6" s="150" t="s">
        <v>72</v>
      </c>
      <c r="AO6" s="150" t="s">
        <v>77</v>
      </c>
      <c r="AP6" s="150" t="s">
        <v>78</v>
      </c>
      <c r="AQ6" s="150" t="s">
        <v>142</v>
      </c>
      <c r="AR6" s="150" t="s">
        <v>162</v>
      </c>
      <c r="AS6" s="150" t="s">
        <v>246</v>
      </c>
      <c r="AT6" s="150">
        <v>2657457</v>
      </c>
      <c r="AU6" s="150">
        <v>5066417</v>
      </c>
      <c r="AV6" s="150">
        <v>5124913</v>
      </c>
      <c r="AW6" s="150">
        <v>2051303</v>
      </c>
      <c r="AX6" s="150">
        <v>2886219</v>
      </c>
      <c r="AY6" s="150">
        <v>2112868</v>
      </c>
      <c r="AZ6" s="150" t="s">
        <v>156</v>
      </c>
      <c r="BA6" s="150" t="s">
        <v>164</v>
      </c>
      <c r="BB6" s="150" t="s">
        <v>263</v>
      </c>
      <c r="BC6" s="150" t="s">
        <v>267</v>
      </c>
      <c r="BD6" s="150" t="s">
        <v>210</v>
      </c>
      <c r="BE6" s="150" t="s">
        <v>3</v>
      </c>
      <c r="BF6" s="150" t="s">
        <v>6</v>
      </c>
      <c r="BG6" s="150" t="s">
        <v>52</v>
      </c>
      <c r="BH6" s="150" t="s">
        <v>56</v>
      </c>
      <c r="BI6" s="150" t="s">
        <v>60</v>
      </c>
      <c r="BJ6" s="150" t="s">
        <v>64</v>
      </c>
      <c r="BK6" s="150" t="s">
        <v>914</v>
      </c>
      <c r="BL6" s="151" t="s">
        <v>76</v>
      </c>
      <c r="BM6" s="151" t="s">
        <v>88</v>
      </c>
      <c r="BN6" s="151" t="s">
        <v>89</v>
      </c>
      <c r="BO6" s="151" t="s">
        <v>91</v>
      </c>
      <c r="BP6" s="151" t="s">
        <v>99</v>
      </c>
      <c r="BQ6" s="151" t="s">
        <v>102</v>
      </c>
      <c r="BR6" s="151" t="s">
        <v>126</v>
      </c>
      <c r="BS6" s="151" t="s">
        <v>178</v>
      </c>
      <c r="BT6" s="151" t="s">
        <v>131</v>
      </c>
      <c r="BU6" s="151" t="s">
        <v>132</v>
      </c>
      <c r="BV6" s="151" t="s">
        <v>150</v>
      </c>
      <c r="BW6" s="151" t="s">
        <v>151</v>
      </c>
      <c r="BX6" s="151" t="s">
        <v>171</v>
      </c>
      <c r="BY6" s="151" t="s">
        <v>174</v>
      </c>
      <c r="BZ6" s="151" t="s">
        <v>195</v>
      </c>
      <c r="CA6" s="151" t="s">
        <v>201</v>
      </c>
      <c r="CB6" s="151" t="s">
        <v>208</v>
      </c>
      <c r="CC6" s="151" t="s">
        <v>209</v>
      </c>
      <c r="CD6" s="151" t="s">
        <v>211</v>
      </c>
      <c r="CE6" s="151" t="s">
        <v>218</v>
      </c>
      <c r="CF6" s="151" t="s">
        <v>222</v>
      </c>
      <c r="CG6" s="151" t="s">
        <v>224</v>
      </c>
      <c r="CH6" s="151" t="s">
        <v>234</v>
      </c>
      <c r="CI6" s="151" t="s">
        <v>235</v>
      </c>
      <c r="CJ6" s="151" t="s">
        <v>237</v>
      </c>
      <c r="CK6" s="151" t="s">
        <v>238</v>
      </c>
      <c r="CL6" s="151" t="s">
        <v>240</v>
      </c>
      <c r="CM6" s="151" t="s">
        <v>247</v>
      </c>
      <c r="CN6" s="151" t="s">
        <v>248</v>
      </c>
      <c r="CO6" s="151" t="s">
        <v>250</v>
      </c>
      <c r="CP6" s="151" t="s">
        <v>251</v>
      </c>
      <c r="CQ6" s="151" t="s">
        <v>256</v>
      </c>
      <c r="CR6" s="151" t="s">
        <v>254</v>
      </c>
      <c r="CS6" s="151" t="s">
        <v>258</v>
      </c>
      <c r="CT6" s="151">
        <v>5159342</v>
      </c>
      <c r="CU6" s="151">
        <v>5085152</v>
      </c>
      <c r="CV6" s="151">
        <v>5198445</v>
      </c>
      <c r="CW6" s="151">
        <v>5227127</v>
      </c>
      <c r="CX6" s="151">
        <v>5210453</v>
      </c>
      <c r="CY6" s="151">
        <v>5038111</v>
      </c>
      <c r="CZ6" s="151">
        <v>5019834</v>
      </c>
      <c r="DA6" s="151">
        <v>5014131</v>
      </c>
      <c r="DB6" s="151">
        <v>2715619</v>
      </c>
      <c r="DC6" s="151">
        <v>5309174</v>
      </c>
      <c r="DD6" s="151">
        <v>5133351</v>
      </c>
      <c r="DE6" s="151">
        <v>5108446</v>
      </c>
      <c r="DF6" s="151">
        <v>5218101</v>
      </c>
      <c r="DG6" s="151">
        <v>5333814</v>
      </c>
      <c r="DH6" s="151">
        <v>5075351</v>
      </c>
      <c r="DI6" s="151">
        <v>2730588</v>
      </c>
      <c r="DJ6" s="151">
        <v>2823616</v>
      </c>
      <c r="DK6" s="151">
        <v>5350557</v>
      </c>
      <c r="DL6" s="151">
        <v>2628236</v>
      </c>
      <c r="DM6" s="151">
        <v>5098297</v>
      </c>
      <c r="DN6" s="151">
        <v>5077982</v>
      </c>
      <c r="DO6" s="151">
        <v>5155436</v>
      </c>
      <c r="DP6" s="151">
        <v>5031869</v>
      </c>
      <c r="DQ6" s="151">
        <v>5194016</v>
      </c>
      <c r="DR6" s="151">
        <v>2678179</v>
      </c>
      <c r="DS6" s="151">
        <v>5041589</v>
      </c>
      <c r="DT6" s="151">
        <v>5051118</v>
      </c>
      <c r="DU6" s="151">
        <v>2023202</v>
      </c>
      <c r="DV6" s="151">
        <v>2887134</v>
      </c>
      <c r="DW6" s="151">
        <v>5167663</v>
      </c>
      <c r="DX6" s="153">
        <v>5194423</v>
      </c>
      <c r="DY6" s="151">
        <v>5153077</v>
      </c>
      <c r="DZ6" s="151">
        <v>5095719</v>
      </c>
      <c r="EA6" s="151">
        <v>5095719</v>
      </c>
      <c r="EB6" s="151">
        <v>2705133</v>
      </c>
      <c r="EC6" s="151">
        <v>2878992</v>
      </c>
      <c r="ED6" s="151">
        <v>5249333</v>
      </c>
      <c r="EE6" s="151">
        <v>2618621</v>
      </c>
      <c r="EF6" s="151">
        <v>5210402</v>
      </c>
      <c r="EG6" s="151">
        <v>5106508</v>
      </c>
      <c r="EH6" s="151">
        <v>2844915</v>
      </c>
      <c r="EI6" s="151" t="s">
        <v>275</v>
      </c>
      <c r="EJ6" s="151" t="s">
        <v>276</v>
      </c>
      <c r="EK6" s="151" t="s">
        <v>303</v>
      </c>
      <c r="EL6" s="151" t="s">
        <v>271</v>
      </c>
      <c r="EM6" s="151" t="s">
        <v>272</v>
      </c>
      <c r="EN6" s="151" t="s">
        <v>279</v>
      </c>
      <c r="EO6" s="151" t="s">
        <v>281</v>
      </c>
      <c r="EP6" s="151" t="s">
        <v>284</v>
      </c>
      <c r="EQ6" s="151" t="s">
        <v>285</v>
      </c>
      <c r="ER6" s="154" t="s">
        <v>287</v>
      </c>
      <c r="ES6" s="151" t="s">
        <v>290</v>
      </c>
      <c r="ET6" s="151" t="s">
        <v>291</v>
      </c>
      <c r="EU6" s="151">
        <v>5158915</v>
      </c>
      <c r="EV6" s="151">
        <v>5206197</v>
      </c>
      <c r="EW6" s="151" t="s">
        <v>18</v>
      </c>
      <c r="EX6" s="151" t="s">
        <v>19</v>
      </c>
      <c r="EY6" s="151" t="s">
        <v>20</v>
      </c>
      <c r="EZ6" s="151" t="s">
        <v>104</v>
      </c>
      <c r="FA6" s="151" t="s">
        <v>232</v>
      </c>
      <c r="FB6" s="151" t="s">
        <v>105</v>
      </c>
      <c r="FC6" s="151" t="s">
        <v>70</v>
      </c>
      <c r="FD6" s="151" t="s">
        <v>42</v>
      </c>
      <c r="FE6" s="151" t="s">
        <v>43</v>
      </c>
      <c r="FF6" s="151" t="s">
        <v>67</v>
      </c>
      <c r="FG6" s="151" t="s">
        <v>57</v>
      </c>
      <c r="FH6" s="151" t="s">
        <v>82</v>
      </c>
      <c r="FI6" s="151" t="s">
        <v>100</v>
      </c>
      <c r="FJ6" s="151" t="s">
        <v>117</v>
      </c>
      <c r="FK6" s="151" t="s">
        <v>118</v>
      </c>
      <c r="FL6" s="151" t="s">
        <v>144</v>
      </c>
      <c r="FM6" s="151" t="s">
        <v>145</v>
      </c>
      <c r="FN6" s="151" t="s">
        <v>155</v>
      </c>
      <c r="FO6" s="151" t="s">
        <v>163</v>
      </c>
      <c r="FP6" s="151" t="s">
        <v>165</v>
      </c>
      <c r="FQ6" s="151" t="s">
        <v>186</v>
      </c>
      <c r="FR6" s="151" t="s">
        <v>187</v>
      </c>
      <c r="FS6" s="151" t="s">
        <v>176</v>
      </c>
      <c r="FT6" s="151" t="s">
        <v>192</v>
      </c>
      <c r="FU6" s="151" t="s">
        <v>202</v>
      </c>
      <c r="FV6" s="151" t="s">
        <v>225</v>
      </c>
      <c r="FW6" s="151" t="s">
        <v>227</v>
      </c>
      <c r="FX6" s="151" t="s">
        <v>264</v>
      </c>
      <c r="FY6" s="151" t="s">
        <v>266</v>
      </c>
      <c r="FZ6" s="151" t="s">
        <v>280</v>
      </c>
      <c r="GA6" s="151" t="s">
        <v>283</v>
      </c>
      <c r="GB6" s="151">
        <v>5232538</v>
      </c>
      <c r="GC6" s="151">
        <v>2848376</v>
      </c>
      <c r="GD6" s="151" t="s">
        <v>299</v>
      </c>
      <c r="GE6" s="151">
        <v>5070805</v>
      </c>
      <c r="GF6" s="151">
        <v>2875926</v>
      </c>
      <c r="GG6" s="151">
        <v>4247949</v>
      </c>
      <c r="GH6" s="151">
        <v>2045931</v>
      </c>
      <c r="GI6" s="151">
        <v>2612046</v>
      </c>
      <c r="GJ6" s="151">
        <v>5028787</v>
      </c>
      <c r="GK6" s="151">
        <v>2861429</v>
      </c>
      <c r="GL6" s="151">
        <v>2696304</v>
      </c>
      <c r="GM6" s="151">
        <v>2777223</v>
      </c>
      <c r="GN6" s="151">
        <v>5133726</v>
      </c>
      <c r="GO6" s="151">
        <v>5106559</v>
      </c>
      <c r="GP6" s="151">
        <v>5103169</v>
      </c>
      <c r="GQ6" s="151">
        <v>5026474</v>
      </c>
      <c r="GR6" s="151">
        <v>2022796</v>
      </c>
      <c r="GS6" s="151" t="s">
        <v>44</v>
      </c>
      <c r="GT6" s="151" t="s">
        <v>81</v>
      </c>
      <c r="GU6" s="151" t="s">
        <v>85</v>
      </c>
      <c r="GV6" s="151" t="s">
        <v>86</v>
      </c>
      <c r="GW6" s="151" t="s">
        <v>74</v>
      </c>
      <c r="GX6" s="151" t="s">
        <v>90</v>
      </c>
      <c r="GY6" s="151" t="s">
        <v>92</v>
      </c>
      <c r="GZ6" s="151" t="s">
        <v>96</v>
      </c>
      <c r="HA6" s="151" t="s">
        <v>97</v>
      </c>
      <c r="HB6" s="151" t="s">
        <v>98</v>
      </c>
      <c r="HC6" s="151">
        <v>2657449</v>
      </c>
      <c r="HD6" s="151">
        <v>2848317</v>
      </c>
      <c r="HE6" s="151">
        <v>5015243</v>
      </c>
      <c r="HF6" s="151" t="s">
        <v>112</v>
      </c>
      <c r="HG6" s="151" t="s">
        <v>29</v>
      </c>
      <c r="HH6" s="151" t="s">
        <v>48</v>
      </c>
      <c r="HI6" s="151" t="s">
        <v>288</v>
      </c>
      <c r="HJ6" s="151" t="s">
        <v>289</v>
      </c>
      <c r="HK6" s="151" t="s">
        <v>293</v>
      </c>
      <c r="HL6" s="151" t="s">
        <v>294</v>
      </c>
      <c r="HM6" s="151">
        <v>2706865</v>
      </c>
      <c r="HN6" s="151">
        <v>2070251</v>
      </c>
      <c r="HO6" s="151">
        <v>5078253</v>
      </c>
      <c r="HP6" s="151">
        <v>5312213</v>
      </c>
      <c r="HQ6" s="151">
        <v>5108659</v>
      </c>
      <c r="HR6" s="151">
        <v>5091098</v>
      </c>
      <c r="HS6" s="151">
        <v>2838508</v>
      </c>
      <c r="HT6" s="151">
        <v>5075602</v>
      </c>
      <c r="HU6" s="151">
        <v>5344743</v>
      </c>
      <c r="HV6" s="151">
        <v>2061899</v>
      </c>
      <c r="HW6" s="151">
        <v>2819031</v>
      </c>
      <c r="HX6" s="151">
        <v>5108403</v>
      </c>
      <c r="HY6" s="151">
        <v>2069792</v>
      </c>
      <c r="HZ6" s="151" t="s">
        <v>215</v>
      </c>
      <c r="IA6" s="151" t="s">
        <v>244</v>
      </c>
      <c r="IB6" s="151" t="s">
        <v>245</v>
      </c>
      <c r="IC6" s="151" t="s">
        <v>257</v>
      </c>
      <c r="ID6" s="151" t="s">
        <v>262</v>
      </c>
      <c r="IE6" s="151" t="s">
        <v>265</v>
      </c>
      <c r="IF6" s="151" t="s">
        <v>273</v>
      </c>
      <c r="IG6" s="151" t="s">
        <v>219</v>
      </c>
      <c r="IH6" s="151" t="s">
        <v>220</v>
      </c>
      <c r="II6" s="151" t="s">
        <v>221</v>
      </c>
      <c r="IJ6" s="151" t="s">
        <v>135</v>
      </c>
      <c r="IK6" s="151" t="s">
        <v>147</v>
      </c>
      <c r="IL6" s="151" t="s">
        <v>152</v>
      </c>
      <c r="IM6" s="154" t="s">
        <v>160</v>
      </c>
      <c r="IN6" s="151" t="s">
        <v>161</v>
      </c>
      <c r="IO6" s="151" t="s">
        <v>172</v>
      </c>
      <c r="IP6" s="151" t="s">
        <v>196</v>
      </c>
      <c r="IQ6" s="151" t="s">
        <v>203</v>
      </c>
      <c r="IR6" s="151" t="s">
        <v>207</v>
      </c>
      <c r="IS6" s="151" t="s">
        <v>141</v>
      </c>
      <c r="IT6" s="151" t="s">
        <v>139</v>
      </c>
      <c r="IU6" s="151" t="s">
        <v>111</v>
      </c>
      <c r="IV6" s="151">
        <v>2078449</v>
      </c>
      <c r="IW6" s="151" t="s">
        <v>119</v>
      </c>
      <c r="IX6" s="151" t="s">
        <v>127</v>
      </c>
      <c r="IY6" s="151" t="s">
        <v>128</v>
      </c>
      <c r="IZ6" s="151" t="s">
        <v>114</v>
      </c>
      <c r="JA6" s="151" t="s">
        <v>94</v>
      </c>
      <c r="JB6" s="151" t="s">
        <v>95</v>
      </c>
      <c r="JC6" s="151" t="s">
        <v>108</v>
      </c>
      <c r="JD6" s="151">
        <v>5320798</v>
      </c>
      <c r="JE6" s="151">
        <v>5319331</v>
      </c>
      <c r="JF6" s="151">
        <v>5093902</v>
      </c>
      <c r="JG6" s="151">
        <v>5113075</v>
      </c>
      <c r="JH6" s="151">
        <v>2585669</v>
      </c>
      <c r="JI6" s="151">
        <v>5051304</v>
      </c>
      <c r="JJ6" s="151">
        <v>5138175</v>
      </c>
      <c r="JK6" s="151">
        <v>5332893</v>
      </c>
      <c r="JL6" s="151">
        <v>2718391</v>
      </c>
      <c r="JM6" s="151">
        <v>5111625</v>
      </c>
      <c r="JN6" s="151">
        <v>2793512</v>
      </c>
      <c r="JO6" s="151">
        <v>2823993</v>
      </c>
      <c r="JP6" s="151">
        <v>2003732</v>
      </c>
      <c r="JQ6" s="151">
        <v>5032938</v>
      </c>
      <c r="JR6" s="151">
        <v>5308534</v>
      </c>
      <c r="JS6" s="151">
        <v>5132576</v>
      </c>
      <c r="JT6" s="151">
        <v>2875578</v>
      </c>
      <c r="JU6" s="151">
        <v>5324998</v>
      </c>
      <c r="JV6" s="151">
        <v>2650444</v>
      </c>
      <c r="JW6" s="151">
        <v>2850354</v>
      </c>
      <c r="JX6" s="151">
        <v>5208998</v>
      </c>
      <c r="JY6" s="151">
        <v>5214971</v>
      </c>
      <c r="JZ6" s="151" t="s">
        <v>212</v>
      </c>
      <c r="KA6" s="151" t="s">
        <v>297</v>
      </c>
      <c r="KB6" s="151">
        <v>5189128</v>
      </c>
      <c r="KC6" s="151">
        <v>5089263</v>
      </c>
      <c r="KD6" s="151">
        <v>5237696</v>
      </c>
      <c r="KE6" s="151">
        <v>2546434</v>
      </c>
      <c r="KF6" s="151">
        <v>5256267</v>
      </c>
      <c r="KG6" s="151" t="s">
        <v>302</v>
      </c>
      <c r="KH6" s="151" t="s">
        <v>223</v>
      </c>
      <c r="KI6" s="151" t="s">
        <v>226</v>
      </c>
      <c r="KJ6" s="151" t="s">
        <v>228</v>
      </c>
      <c r="KK6" s="151" t="s">
        <v>236</v>
      </c>
      <c r="KL6" s="151" t="s">
        <v>255</v>
      </c>
      <c r="KM6" s="151" t="s">
        <v>261</v>
      </c>
      <c r="KN6" s="151" t="s">
        <v>274</v>
      </c>
      <c r="KO6" s="151" t="s">
        <v>278</v>
      </c>
      <c r="KP6" s="151" t="s">
        <v>62</v>
      </c>
      <c r="KQ6" s="151" t="s">
        <v>63</v>
      </c>
      <c r="KR6" s="151" t="s">
        <v>80</v>
      </c>
      <c r="KS6" s="151" t="s">
        <v>93</v>
      </c>
      <c r="KT6" s="151" t="s">
        <v>113</v>
      </c>
      <c r="KU6" s="151" t="s">
        <v>167</v>
      </c>
      <c r="KV6" s="151" t="s">
        <v>173</v>
      </c>
      <c r="KW6" s="151" t="s">
        <v>39</v>
      </c>
      <c r="KX6" s="151" t="s">
        <v>191</v>
      </c>
      <c r="KY6" s="151" t="s">
        <v>193</v>
      </c>
      <c r="KZ6" s="151" t="s">
        <v>194</v>
      </c>
      <c r="LA6" s="151" t="s">
        <v>179</v>
      </c>
      <c r="LB6" s="151" t="s">
        <v>249</v>
      </c>
      <c r="LC6" s="151">
        <v>5104211</v>
      </c>
      <c r="LD6" s="151">
        <v>5113717</v>
      </c>
      <c r="LE6" s="151">
        <v>5152542</v>
      </c>
      <c r="LF6" s="151">
        <v>5073111</v>
      </c>
      <c r="LG6" s="151">
        <v>5189594</v>
      </c>
      <c r="LH6" s="151">
        <v>5193443</v>
      </c>
      <c r="LI6" s="151">
        <v>5266084</v>
      </c>
      <c r="LJ6" s="151">
        <v>5301475</v>
      </c>
      <c r="LK6" s="151">
        <v>5146852</v>
      </c>
      <c r="LL6" s="151">
        <v>5035503</v>
      </c>
      <c r="LM6" s="151">
        <v>2734052</v>
      </c>
      <c r="LN6" s="151">
        <v>5272335</v>
      </c>
      <c r="LO6" s="151">
        <v>5260213</v>
      </c>
      <c r="LP6" s="151">
        <v>5179173</v>
      </c>
      <c r="LQ6" s="151">
        <v>5200881</v>
      </c>
      <c r="LR6" s="151">
        <v>5111676</v>
      </c>
      <c r="LS6" s="151">
        <v>2670232</v>
      </c>
      <c r="LT6" s="151">
        <v>5301467</v>
      </c>
      <c r="LU6" s="151">
        <v>5076307</v>
      </c>
      <c r="LV6" s="151">
        <v>5180252</v>
      </c>
      <c r="LW6" s="151">
        <v>5168635</v>
      </c>
      <c r="LX6" s="155">
        <v>2550873</v>
      </c>
      <c r="LY6" s="151" t="s">
        <v>158</v>
      </c>
      <c r="LZ6" s="151" t="s">
        <v>84</v>
      </c>
      <c r="MA6" s="151" t="s">
        <v>54</v>
      </c>
      <c r="MB6" s="151" t="s">
        <v>87</v>
      </c>
      <c r="MC6" s="151" t="s">
        <v>101</v>
      </c>
      <c r="MD6" s="151" t="s">
        <v>181</v>
      </c>
      <c r="ME6" s="151" t="s">
        <v>183</v>
      </c>
      <c r="MF6" s="151" t="s">
        <v>184</v>
      </c>
      <c r="MG6" s="151" t="s">
        <v>185</v>
      </c>
      <c r="MH6" s="151" t="s">
        <v>189</v>
      </c>
      <c r="MI6" s="151" t="s">
        <v>190</v>
      </c>
      <c r="MJ6" s="151" t="s">
        <v>199</v>
      </c>
      <c r="MK6" s="151" t="s">
        <v>216</v>
      </c>
      <c r="ML6" s="151" t="s">
        <v>206</v>
      </c>
      <c r="MM6" s="151" t="s">
        <v>217</v>
      </c>
      <c r="MN6" s="151" t="s">
        <v>233</v>
      </c>
      <c r="MO6" s="151" t="s">
        <v>242</v>
      </c>
      <c r="MP6" s="151" t="s">
        <v>243</v>
      </c>
      <c r="MQ6" s="151" t="s">
        <v>253</v>
      </c>
      <c r="MR6" s="151" t="s">
        <v>259</v>
      </c>
      <c r="MS6" s="151" t="s">
        <v>260</v>
      </c>
      <c r="MT6" s="151" t="s">
        <v>268</v>
      </c>
      <c r="MU6" s="151" t="s">
        <v>269</v>
      </c>
      <c r="MV6" s="151" t="s">
        <v>277</v>
      </c>
      <c r="MW6" s="151" t="s">
        <v>282</v>
      </c>
      <c r="MX6" s="151" t="s">
        <v>286</v>
      </c>
      <c r="MY6" s="151" t="s">
        <v>295</v>
      </c>
      <c r="MZ6" s="151" t="s">
        <v>292</v>
      </c>
      <c r="NA6" s="151" t="s">
        <v>300</v>
      </c>
      <c r="NB6" s="151">
        <v>5060338</v>
      </c>
      <c r="NC6" s="151">
        <v>5353246</v>
      </c>
      <c r="ND6" s="151">
        <v>2808226</v>
      </c>
      <c r="NE6" s="151">
        <v>5099854</v>
      </c>
      <c r="NF6" s="151">
        <v>5048362</v>
      </c>
      <c r="NG6" s="151" t="s">
        <v>166</v>
      </c>
      <c r="NH6" s="151" t="s">
        <v>168</v>
      </c>
      <c r="NI6" s="151" t="s">
        <v>169</v>
      </c>
      <c r="NJ6" s="151" t="s">
        <v>123</v>
      </c>
      <c r="NK6" s="151" t="s">
        <v>125</v>
      </c>
      <c r="NL6" s="151" t="s">
        <v>134</v>
      </c>
      <c r="NM6" s="151" t="s">
        <v>133</v>
      </c>
      <c r="NN6" s="151" t="s">
        <v>107</v>
      </c>
      <c r="NO6" s="151" t="s">
        <v>143</v>
      </c>
      <c r="NP6" s="151" t="s">
        <v>146</v>
      </c>
      <c r="NQ6" s="151">
        <v>2597535</v>
      </c>
      <c r="NR6" s="151">
        <v>5012287</v>
      </c>
      <c r="NS6" s="151">
        <v>5152054</v>
      </c>
      <c r="NT6" s="151">
        <v>5199107</v>
      </c>
      <c r="NU6" s="151">
        <v>5104459</v>
      </c>
      <c r="NV6" s="151" t="s">
        <v>65</v>
      </c>
      <c r="NW6" s="151" t="s">
        <v>83</v>
      </c>
      <c r="NX6" s="151" t="s">
        <v>124</v>
      </c>
      <c r="NY6" s="151" t="s">
        <v>148</v>
      </c>
      <c r="NZ6" s="151" t="s">
        <v>159</v>
      </c>
      <c r="OA6" s="151" t="s">
        <v>149</v>
      </c>
      <c r="OB6" s="151">
        <v>5200334</v>
      </c>
      <c r="OC6" s="151">
        <v>5176727</v>
      </c>
      <c r="OD6" s="151" t="s">
        <v>298</v>
      </c>
      <c r="OE6" s="151" t="s">
        <v>239</v>
      </c>
      <c r="OF6" s="151" t="s">
        <v>301</v>
      </c>
      <c r="OG6" s="151" t="s">
        <v>109</v>
      </c>
      <c r="OH6" s="151" t="s">
        <v>24</v>
      </c>
      <c r="OI6" s="151" t="s">
        <v>25</v>
      </c>
      <c r="OJ6" s="151" t="s">
        <v>180</v>
      </c>
      <c r="OK6" s="151" t="s">
        <v>188</v>
      </c>
      <c r="OL6" s="151" t="s">
        <v>26</v>
      </c>
      <c r="OM6" s="151" t="s">
        <v>33</v>
      </c>
      <c r="ON6" s="151" t="s">
        <v>71</v>
      </c>
      <c r="OO6" s="151" t="s">
        <v>34</v>
      </c>
      <c r="OP6" s="151" t="s">
        <v>35</v>
      </c>
      <c r="OQ6" s="151" t="s">
        <v>7</v>
      </c>
      <c r="OR6" s="151" t="s">
        <v>8</v>
      </c>
      <c r="OS6" s="151" t="s">
        <v>10</v>
      </c>
      <c r="OT6" s="151" t="s">
        <v>11</v>
      </c>
      <c r="OU6" s="151" t="s">
        <v>51</v>
      </c>
      <c r="OV6" s="151" t="s">
        <v>55</v>
      </c>
      <c r="OW6" s="151" t="s">
        <v>68</v>
      </c>
      <c r="OX6" s="151" t="s">
        <v>69</v>
      </c>
      <c r="OY6" s="151" t="s">
        <v>73</v>
      </c>
      <c r="OZ6" s="151" t="s">
        <v>75</v>
      </c>
      <c r="PA6" s="151" t="s">
        <v>79</v>
      </c>
      <c r="PB6" s="151" t="s">
        <v>121</v>
      </c>
      <c r="PC6" s="151" t="s">
        <v>106</v>
      </c>
      <c r="PD6" s="151" t="s">
        <v>103</v>
      </c>
      <c r="PE6" s="151" t="s">
        <v>110</v>
      </c>
      <c r="PF6" s="151" t="s">
        <v>115</v>
      </c>
      <c r="PG6" s="151" t="s">
        <v>120</v>
      </c>
      <c r="PH6" s="151" t="s">
        <v>122</v>
      </c>
      <c r="PI6" s="151" t="s">
        <v>116</v>
      </c>
      <c r="PJ6" s="151" t="s">
        <v>129</v>
      </c>
      <c r="PK6" s="151" t="s">
        <v>130</v>
      </c>
      <c r="PL6" s="151" t="s">
        <v>136</v>
      </c>
      <c r="PM6" s="151" t="s">
        <v>137</v>
      </c>
      <c r="PN6" s="151" t="s">
        <v>231</v>
      </c>
      <c r="PO6" s="151" t="s">
        <v>205</v>
      </c>
      <c r="PP6" s="151" t="s">
        <v>213</v>
      </c>
      <c r="PQ6" s="151" t="s">
        <v>214</v>
      </c>
      <c r="PR6" s="151">
        <v>2050463</v>
      </c>
      <c r="PS6" s="151">
        <v>2024306</v>
      </c>
      <c r="PT6" s="151" t="s">
        <v>138</v>
      </c>
      <c r="PU6" s="151" t="s">
        <v>153</v>
      </c>
      <c r="PV6" s="151" t="s">
        <v>140</v>
      </c>
      <c r="PW6" s="151" t="s">
        <v>175</v>
      </c>
      <c r="PX6" s="151" t="s">
        <v>197</v>
      </c>
      <c r="PY6" s="151" t="s">
        <v>204</v>
      </c>
      <c r="PZ6" s="151" t="s">
        <v>177</v>
      </c>
      <c r="QA6" s="151" t="s">
        <v>182</v>
      </c>
      <c r="QB6" s="151" t="s">
        <v>154</v>
      </c>
      <c r="QC6" s="151" t="s">
        <v>157</v>
      </c>
      <c r="QD6" s="151" t="s">
        <v>170</v>
      </c>
      <c r="QE6" s="151" t="s">
        <v>198</v>
      </c>
      <c r="QF6" s="151" t="s">
        <v>200</v>
      </c>
      <c r="QG6" s="151" t="s">
        <v>229</v>
      </c>
      <c r="QH6" s="151" t="s">
        <v>230</v>
      </c>
      <c r="QI6" s="151" t="s">
        <v>241</v>
      </c>
      <c r="QJ6" s="151" t="s">
        <v>252</v>
      </c>
      <c r="QK6" s="151" t="s">
        <v>270</v>
      </c>
      <c r="QL6" s="151" t="s">
        <v>296</v>
      </c>
      <c r="QM6" s="151">
        <v>5352959</v>
      </c>
      <c r="QN6" s="151">
        <v>5095638</v>
      </c>
      <c r="QO6" s="151">
        <v>5143926</v>
      </c>
      <c r="QP6" s="151">
        <v>5151651</v>
      </c>
      <c r="QQ6" s="151">
        <v>2004976</v>
      </c>
      <c r="QR6" s="151">
        <v>2044161</v>
      </c>
      <c r="QS6" s="151">
        <v>5218896</v>
      </c>
      <c r="QT6" s="151">
        <v>4184165</v>
      </c>
      <c r="QU6" s="151">
        <v>4257669</v>
      </c>
      <c r="QV6" s="151">
        <v>4257421</v>
      </c>
      <c r="QW6" s="151">
        <v>4257782</v>
      </c>
      <c r="QX6" s="151">
        <v>4257642</v>
      </c>
      <c r="QY6" s="151">
        <v>3491544</v>
      </c>
      <c r="QZ6" s="151">
        <v>2317265</v>
      </c>
      <c r="RA6" s="151">
        <v>2812886</v>
      </c>
      <c r="RB6" s="151">
        <v>2611961</v>
      </c>
      <c r="RC6" s="151">
        <v>2774771</v>
      </c>
      <c r="RD6" s="151">
        <v>2841916</v>
      </c>
      <c r="RE6" s="151">
        <v>2532913</v>
      </c>
      <c r="RF6" s="151">
        <v>2619474</v>
      </c>
      <c r="RG6" s="151">
        <v>5106583</v>
      </c>
      <c r="RH6" s="151">
        <v>2663937</v>
      </c>
      <c r="RI6" s="151">
        <v>2112183</v>
      </c>
      <c r="RJ6" s="151">
        <v>2608073</v>
      </c>
      <c r="RK6" s="151">
        <v>2800128</v>
      </c>
      <c r="RL6" s="151">
        <v>2830701</v>
      </c>
      <c r="RM6" s="151">
        <v>2012251</v>
      </c>
      <c r="RN6" s="151">
        <v>3428052</v>
      </c>
    </row>
    <row r="7" spans="1:482" s="160" customFormat="1" ht="33.75" customHeight="1" thickBot="1" x14ac:dyDescent="0.25">
      <c r="A7" s="168"/>
      <c r="B7" s="173" t="s">
        <v>840</v>
      </c>
      <c r="C7" s="174"/>
      <c r="D7" s="172"/>
      <c r="E7" s="113" t="s">
        <v>304</v>
      </c>
      <c r="F7" s="113" t="s">
        <v>305</v>
      </c>
      <c r="G7" s="113" t="s">
        <v>307</v>
      </c>
      <c r="H7" s="113" t="s">
        <v>308</v>
      </c>
      <c r="I7" s="113" t="s">
        <v>312</v>
      </c>
      <c r="J7" s="113" t="s">
        <v>315</v>
      </c>
      <c r="K7" s="113" t="s">
        <v>316</v>
      </c>
      <c r="L7" s="113" t="s">
        <v>841</v>
      </c>
      <c r="M7" s="113" t="s">
        <v>317</v>
      </c>
      <c r="N7" s="113" t="s">
        <v>842</v>
      </c>
      <c r="O7" s="113" t="s">
        <v>318</v>
      </c>
      <c r="P7" s="113" t="s">
        <v>322</v>
      </c>
      <c r="Q7" s="113" t="s">
        <v>323</v>
      </c>
      <c r="R7" s="113" t="s">
        <v>324</v>
      </c>
      <c r="S7" s="113" t="s">
        <v>327</v>
      </c>
      <c r="T7" s="113" t="s">
        <v>843</v>
      </c>
      <c r="U7" s="113" t="s">
        <v>329</v>
      </c>
      <c r="V7" s="113" t="s">
        <v>330</v>
      </c>
      <c r="W7" s="113" t="s">
        <v>331</v>
      </c>
      <c r="X7" s="113" t="s">
        <v>335</v>
      </c>
      <c r="Y7" s="113" t="s">
        <v>336</v>
      </c>
      <c r="Z7" s="113" t="s">
        <v>337</v>
      </c>
      <c r="AA7" s="113" t="s">
        <v>844</v>
      </c>
      <c r="AB7" s="113" t="s">
        <v>339</v>
      </c>
      <c r="AC7" s="113" t="s">
        <v>343</v>
      </c>
      <c r="AD7" s="113" t="s">
        <v>344</v>
      </c>
      <c r="AE7" s="113" t="s">
        <v>845</v>
      </c>
      <c r="AF7" s="113" t="s">
        <v>346</v>
      </c>
      <c r="AG7" s="113" t="s">
        <v>347</v>
      </c>
      <c r="AH7" s="113" t="s">
        <v>349</v>
      </c>
      <c r="AI7" s="113" t="s">
        <v>846</v>
      </c>
      <c r="AJ7" s="113" t="s">
        <v>354</v>
      </c>
      <c r="AK7" s="113" t="s">
        <v>355</v>
      </c>
      <c r="AL7" s="113" t="s">
        <v>357</v>
      </c>
      <c r="AM7" s="113" t="s">
        <v>361</v>
      </c>
      <c r="AN7" s="113" t="s">
        <v>367</v>
      </c>
      <c r="AO7" s="113" t="s">
        <v>372</v>
      </c>
      <c r="AP7" s="113" t="s">
        <v>373</v>
      </c>
      <c r="AQ7" s="113" t="s">
        <v>429</v>
      </c>
      <c r="AR7" s="113" t="s">
        <v>847</v>
      </c>
      <c r="AS7" s="113" t="s">
        <v>514</v>
      </c>
      <c r="AT7" s="113" t="s">
        <v>574</v>
      </c>
      <c r="AU7" s="113" t="s">
        <v>649</v>
      </c>
      <c r="AV7" s="113" t="s">
        <v>614</v>
      </c>
      <c r="AW7" s="113" t="s">
        <v>848</v>
      </c>
      <c r="AX7" s="113" t="s">
        <v>672</v>
      </c>
      <c r="AY7" s="113" t="s">
        <v>679</v>
      </c>
      <c r="AZ7" s="113" t="s">
        <v>441</v>
      </c>
      <c r="BA7" s="113" t="s">
        <v>448</v>
      </c>
      <c r="BB7" s="113" t="s">
        <v>849</v>
      </c>
      <c r="BC7" s="113" t="s">
        <v>533</v>
      </c>
      <c r="BD7" s="113" t="s">
        <v>484</v>
      </c>
      <c r="BE7" s="113" t="s">
        <v>306</v>
      </c>
      <c r="BF7" s="113" t="s">
        <v>309</v>
      </c>
      <c r="BG7" s="113" t="s">
        <v>348</v>
      </c>
      <c r="BH7" s="113" t="s">
        <v>352</v>
      </c>
      <c r="BI7" s="113" t="s">
        <v>356</v>
      </c>
      <c r="BJ7" s="113" t="s">
        <v>360</v>
      </c>
      <c r="BK7" s="113" t="s">
        <v>915</v>
      </c>
      <c r="BL7" s="140" t="s">
        <v>371</v>
      </c>
      <c r="BM7" s="140" t="s">
        <v>984</v>
      </c>
      <c r="BN7" s="140" t="s">
        <v>382</v>
      </c>
      <c r="BO7" s="140" t="s">
        <v>383</v>
      </c>
      <c r="BP7" s="140" t="s">
        <v>390</v>
      </c>
      <c r="BQ7" s="140" t="s">
        <v>392</v>
      </c>
      <c r="BR7" s="140" t="s">
        <v>415</v>
      </c>
      <c r="BS7" s="140" t="s">
        <v>459</v>
      </c>
      <c r="BT7" s="140" t="s">
        <v>966</v>
      </c>
      <c r="BU7" s="140" t="s">
        <v>419</v>
      </c>
      <c r="BV7" s="140" t="s">
        <v>437</v>
      </c>
      <c r="BW7" s="140" t="s">
        <v>438</v>
      </c>
      <c r="BX7" s="140" t="s">
        <v>453</v>
      </c>
      <c r="BY7" s="140" t="s">
        <v>456</v>
      </c>
      <c r="BZ7" s="140" t="s">
        <v>472</v>
      </c>
      <c r="CA7" s="140" t="s">
        <v>478</v>
      </c>
      <c r="CB7" s="140" t="s">
        <v>482</v>
      </c>
      <c r="CC7" s="140" t="s">
        <v>483</v>
      </c>
      <c r="CD7" s="140" t="s">
        <v>485</v>
      </c>
      <c r="CE7" s="140" t="s">
        <v>967</v>
      </c>
      <c r="CF7" s="140" t="s">
        <v>493</v>
      </c>
      <c r="CG7" s="140" t="s">
        <v>495</v>
      </c>
      <c r="CH7" s="140" t="s">
        <v>504</v>
      </c>
      <c r="CI7" s="140" t="s">
        <v>505</v>
      </c>
      <c r="CJ7" s="140" t="s">
        <v>507</v>
      </c>
      <c r="CK7" s="140" t="s">
        <v>508</v>
      </c>
      <c r="CL7" s="140" t="s">
        <v>509</v>
      </c>
      <c r="CM7" s="140" t="s">
        <v>515</v>
      </c>
      <c r="CN7" s="140" t="s">
        <v>516</v>
      </c>
      <c r="CO7" s="140" t="s">
        <v>518</v>
      </c>
      <c r="CP7" s="140" t="s">
        <v>985</v>
      </c>
      <c r="CQ7" s="140" t="s">
        <v>523</v>
      </c>
      <c r="CR7" s="140" t="s">
        <v>521</v>
      </c>
      <c r="CS7" s="140" t="s">
        <v>525</v>
      </c>
      <c r="CT7" s="140" t="s">
        <v>711</v>
      </c>
      <c r="CU7" s="140" t="s">
        <v>712</v>
      </c>
      <c r="CV7" s="140" t="s">
        <v>714</v>
      </c>
      <c r="CW7" s="140" t="s">
        <v>725</v>
      </c>
      <c r="CX7" s="140" t="s">
        <v>726</v>
      </c>
      <c r="CY7" s="140" t="s">
        <v>695</v>
      </c>
      <c r="CZ7" s="140" t="s">
        <v>687</v>
      </c>
      <c r="DA7" s="140" t="s">
        <v>696</v>
      </c>
      <c r="DB7" s="140" t="s">
        <v>698</v>
      </c>
      <c r="DC7" s="140" t="s">
        <v>701</v>
      </c>
      <c r="DD7" s="140" t="s">
        <v>702</v>
      </c>
      <c r="DE7" s="140" t="s">
        <v>676</v>
      </c>
      <c r="DF7" s="140" t="s">
        <v>663</v>
      </c>
      <c r="DG7" s="140" t="s">
        <v>671</v>
      </c>
      <c r="DH7" s="140" t="s">
        <v>677</v>
      </c>
      <c r="DI7" s="140" t="s">
        <v>681</v>
      </c>
      <c r="DJ7" s="140" t="s">
        <v>682</v>
      </c>
      <c r="DK7" s="140" t="s">
        <v>716</v>
      </c>
      <c r="DL7" s="140" t="s">
        <v>650</v>
      </c>
      <c r="DM7" s="140" t="s">
        <v>651</v>
      </c>
      <c r="DN7" s="140" t="s">
        <v>653</v>
      </c>
      <c r="DO7" s="140" t="s">
        <v>654</v>
      </c>
      <c r="DP7" s="140" t="s">
        <v>613</v>
      </c>
      <c r="DQ7" s="140" t="s">
        <v>968</v>
      </c>
      <c r="DR7" s="140" t="s">
        <v>611</v>
      </c>
      <c r="DS7" s="140" t="s">
        <v>616</v>
      </c>
      <c r="DT7" s="140" t="s">
        <v>618</v>
      </c>
      <c r="DU7" s="140" t="s">
        <v>622</v>
      </c>
      <c r="DV7" s="140" t="s">
        <v>626</v>
      </c>
      <c r="DW7" s="140" t="s">
        <v>632</v>
      </c>
      <c r="DX7" s="158" t="s">
        <v>638</v>
      </c>
      <c r="DY7" s="140" t="s">
        <v>969</v>
      </c>
      <c r="DZ7" s="140" t="s">
        <v>600</v>
      </c>
      <c r="EA7" s="140" t="s">
        <v>600</v>
      </c>
      <c r="EB7" s="140" t="s">
        <v>592</v>
      </c>
      <c r="EC7" s="140" t="s">
        <v>594</v>
      </c>
      <c r="ED7" s="140" t="s">
        <v>597</v>
      </c>
      <c r="EE7" s="140" t="s">
        <v>576</v>
      </c>
      <c r="EF7" s="140" t="s">
        <v>578</v>
      </c>
      <c r="EG7" s="140" t="s">
        <v>582</v>
      </c>
      <c r="EH7" s="140" t="s">
        <v>579</v>
      </c>
      <c r="EI7" s="140" t="s">
        <v>539</v>
      </c>
      <c r="EJ7" s="140" t="s">
        <v>540</v>
      </c>
      <c r="EK7" s="140" t="s">
        <v>564</v>
      </c>
      <c r="EL7" s="140" t="s">
        <v>536</v>
      </c>
      <c r="EM7" s="140" t="s">
        <v>986</v>
      </c>
      <c r="EN7" s="140" t="s">
        <v>543</v>
      </c>
      <c r="EO7" s="140" t="s">
        <v>545</v>
      </c>
      <c r="EP7" s="140" t="s">
        <v>970</v>
      </c>
      <c r="EQ7" s="140" t="s">
        <v>548</v>
      </c>
      <c r="ER7" s="159" t="s">
        <v>550</v>
      </c>
      <c r="ES7" s="140" t="s">
        <v>553</v>
      </c>
      <c r="ET7" s="140" t="s">
        <v>554</v>
      </c>
      <c r="EU7" s="140" t="s">
        <v>569</v>
      </c>
      <c r="EV7" s="140" t="s">
        <v>570</v>
      </c>
      <c r="EW7" s="140" t="s">
        <v>319</v>
      </c>
      <c r="EX7" s="140" t="s">
        <v>320</v>
      </c>
      <c r="EY7" s="140" t="s">
        <v>321</v>
      </c>
      <c r="EZ7" s="140" t="s">
        <v>394</v>
      </c>
      <c r="FA7" s="140" t="s">
        <v>987</v>
      </c>
      <c r="FB7" s="140" t="s">
        <v>395</v>
      </c>
      <c r="FC7" s="140" t="s">
        <v>365</v>
      </c>
      <c r="FD7" s="140" t="s">
        <v>340</v>
      </c>
      <c r="FE7" s="140" t="s">
        <v>341</v>
      </c>
      <c r="FF7" s="140" t="s">
        <v>362</v>
      </c>
      <c r="FG7" s="140" t="s">
        <v>353</v>
      </c>
      <c r="FH7" s="140" t="s">
        <v>377</v>
      </c>
      <c r="FI7" s="140" t="s">
        <v>391</v>
      </c>
      <c r="FJ7" s="140" t="s">
        <v>406</v>
      </c>
      <c r="FK7" s="140" t="s">
        <v>407</v>
      </c>
      <c r="FL7" s="140" t="s">
        <v>431</v>
      </c>
      <c r="FM7" s="140" t="s">
        <v>432</v>
      </c>
      <c r="FN7" s="140" t="s">
        <v>988</v>
      </c>
      <c r="FO7" s="140" t="s">
        <v>447</v>
      </c>
      <c r="FP7" s="140" t="s">
        <v>989</v>
      </c>
      <c r="FQ7" s="140" t="s">
        <v>971</v>
      </c>
      <c r="FR7" s="140" t="s">
        <v>972</v>
      </c>
      <c r="FS7" s="140" t="s">
        <v>458</v>
      </c>
      <c r="FT7" s="140" t="s">
        <v>990</v>
      </c>
      <c r="FU7" s="140" t="s">
        <v>479</v>
      </c>
      <c r="FV7" s="140" t="s">
        <v>496</v>
      </c>
      <c r="FW7" s="140" t="s">
        <v>498</v>
      </c>
      <c r="FX7" s="140" t="s">
        <v>530</v>
      </c>
      <c r="FY7" s="140" t="s">
        <v>532</v>
      </c>
      <c r="FZ7" s="140" t="s">
        <v>544</v>
      </c>
      <c r="GA7" s="140" t="s">
        <v>547</v>
      </c>
      <c r="GB7" s="140" t="s">
        <v>591</v>
      </c>
      <c r="GC7" s="140" t="s">
        <v>575</v>
      </c>
      <c r="GD7" s="140" t="s">
        <v>560</v>
      </c>
      <c r="GE7" s="140" t="s">
        <v>596</v>
      </c>
      <c r="GF7" s="140" t="s">
        <v>601</v>
      </c>
      <c r="GG7" s="140" t="s">
        <v>602</v>
      </c>
      <c r="GH7" s="140" t="s">
        <v>607</v>
      </c>
      <c r="GI7" s="140" t="s">
        <v>609</v>
      </c>
      <c r="GJ7" s="211" t="s">
        <v>963</v>
      </c>
      <c r="GK7" s="212" t="s">
        <v>964</v>
      </c>
      <c r="GL7" s="212" t="s">
        <v>965</v>
      </c>
      <c r="GM7" s="140" t="s">
        <v>665</v>
      </c>
      <c r="GN7" s="140" t="s">
        <v>673</v>
      </c>
      <c r="GO7" s="140" t="s">
        <v>708</v>
      </c>
      <c r="GP7" s="140" t="s">
        <v>704</v>
      </c>
      <c r="GQ7" s="140" t="s">
        <v>715</v>
      </c>
      <c r="GR7" s="140" t="s">
        <v>720</v>
      </c>
      <c r="GS7" s="140" t="s">
        <v>342</v>
      </c>
      <c r="GT7" s="140" t="s">
        <v>376</v>
      </c>
      <c r="GU7" s="140" t="s">
        <v>379</v>
      </c>
      <c r="GV7" s="140" t="s">
        <v>380</v>
      </c>
      <c r="GW7" s="140" t="s">
        <v>369</v>
      </c>
      <c r="GX7" s="140" t="s">
        <v>973</v>
      </c>
      <c r="GY7" s="140" t="s">
        <v>384</v>
      </c>
      <c r="GZ7" s="140" t="s">
        <v>387</v>
      </c>
      <c r="HA7" s="140" t="s">
        <v>388</v>
      </c>
      <c r="HB7" s="140" t="s">
        <v>389</v>
      </c>
      <c r="HC7" s="140" t="s">
        <v>604</v>
      </c>
      <c r="HD7" s="140" t="s">
        <v>593</v>
      </c>
      <c r="HE7" s="140" t="s">
        <v>572</v>
      </c>
      <c r="HF7" s="140" t="s">
        <v>402</v>
      </c>
      <c r="HG7" s="140" t="s">
        <v>328</v>
      </c>
      <c r="HH7" s="140" t="s">
        <v>345</v>
      </c>
      <c r="HI7" s="140" t="s">
        <v>551</v>
      </c>
      <c r="HJ7" s="140" t="s">
        <v>552</v>
      </c>
      <c r="HK7" s="140" t="s">
        <v>991</v>
      </c>
      <c r="HL7" s="140" t="s">
        <v>556</v>
      </c>
      <c r="HM7" s="140" t="s">
        <v>628</v>
      </c>
      <c r="HN7" s="140" t="s">
        <v>629</v>
      </c>
      <c r="HO7" s="140" t="s">
        <v>633</v>
      </c>
      <c r="HP7" s="140" t="s">
        <v>634</v>
      </c>
      <c r="HQ7" s="140" t="s">
        <v>684</v>
      </c>
      <c r="HR7" s="140" t="s">
        <v>694</v>
      </c>
      <c r="HS7" s="140" t="s">
        <v>700</v>
      </c>
      <c r="HT7" s="140" t="s">
        <v>707</v>
      </c>
      <c r="HU7" s="140" t="s">
        <v>719</v>
      </c>
      <c r="HV7" s="140" t="s">
        <v>721</v>
      </c>
      <c r="HW7" s="140" t="s">
        <v>573</v>
      </c>
      <c r="HX7" s="140" t="s">
        <v>580</v>
      </c>
      <c r="HY7" s="140" t="s">
        <v>585</v>
      </c>
      <c r="HZ7" s="140" t="s">
        <v>488</v>
      </c>
      <c r="IA7" s="140" t="s">
        <v>992</v>
      </c>
      <c r="IB7" s="140" t="s">
        <v>513</v>
      </c>
      <c r="IC7" s="140" t="s">
        <v>524</v>
      </c>
      <c r="ID7" s="140" t="s">
        <v>529</v>
      </c>
      <c r="IE7" s="140" t="s">
        <v>531</v>
      </c>
      <c r="IF7" s="140" t="s">
        <v>537</v>
      </c>
      <c r="IG7" s="140" t="s">
        <v>490</v>
      </c>
      <c r="IH7" s="159" t="s">
        <v>491</v>
      </c>
      <c r="II7" s="140" t="s">
        <v>492</v>
      </c>
      <c r="IJ7" s="140" t="s">
        <v>422</v>
      </c>
      <c r="IK7" s="140" t="s">
        <v>434</v>
      </c>
      <c r="IL7" s="140" t="s">
        <v>439</v>
      </c>
      <c r="IM7" s="159" t="s">
        <v>445</v>
      </c>
      <c r="IN7" s="140" t="s">
        <v>446</v>
      </c>
      <c r="IO7" s="140" t="s">
        <v>454</v>
      </c>
      <c r="IP7" s="140" t="s">
        <v>473</v>
      </c>
      <c r="IQ7" s="140" t="s">
        <v>480</v>
      </c>
      <c r="IR7" s="140" t="s">
        <v>974</v>
      </c>
      <c r="IS7" s="140" t="s">
        <v>428</v>
      </c>
      <c r="IT7" s="140" t="s">
        <v>426</v>
      </c>
      <c r="IU7" s="140" t="s">
        <v>975</v>
      </c>
      <c r="IV7" s="140" t="s">
        <v>401</v>
      </c>
      <c r="IW7" s="140" t="s">
        <v>408</v>
      </c>
      <c r="IX7" s="140" t="s">
        <v>993</v>
      </c>
      <c r="IY7" s="140" t="s">
        <v>416</v>
      </c>
      <c r="IZ7" s="140" t="s">
        <v>403</v>
      </c>
      <c r="JA7" s="140" t="s">
        <v>994</v>
      </c>
      <c r="JB7" s="140" t="s">
        <v>386</v>
      </c>
      <c r="JC7" s="140" t="s">
        <v>398</v>
      </c>
      <c r="JD7" s="140" t="s">
        <v>617</v>
      </c>
      <c r="JE7" s="140" t="s">
        <v>615</v>
      </c>
      <c r="JF7" s="140" t="s">
        <v>619</v>
      </c>
      <c r="JG7" s="140" t="s">
        <v>976</v>
      </c>
      <c r="JH7" s="140" t="s">
        <v>620</v>
      </c>
      <c r="JI7" s="140" t="s">
        <v>623</v>
      </c>
      <c r="JJ7" s="140" t="s">
        <v>624</v>
      </c>
      <c r="JK7" s="140" t="s">
        <v>630</v>
      </c>
      <c r="JL7" s="140" t="s">
        <v>635</v>
      </c>
      <c r="JM7" s="140" t="s">
        <v>637</v>
      </c>
      <c r="JN7" s="140" t="s">
        <v>670</v>
      </c>
      <c r="JO7" s="140" t="s">
        <v>674</v>
      </c>
      <c r="JP7" s="140" t="s">
        <v>688</v>
      </c>
      <c r="JQ7" s="140" t="s">
        <v>689</v>
      </c>
      <c r="JR7" s="140" t="s">
        <v>690</v>
      </c>
      <c r="JS7" s="140" t="s">
        <v>692</v>
      </c>
      <c r="JT7" s="140" t="s">
        <v>706</v>
      </c>
      <c r="JU7" s="140" t="s">
        <v>710</v>
      </c>
      <c r="JV7" s="140" t="s">
        <v>718</v>
      </c>
      <c r="JW7" s="140" t="s">
        <v>722</v>
      </c>
      <c r="JX7" s="140" t="s">
        <v>678</v>
      </c>
      <c r="JY7" s="140" t="s">
        <v>680</v>
      </c>
      <c r="JZ7" s="140" t="s">
        <v>486</v>
      </c>
      <c r="KA7" s="140" t="s">
        <v>558</v>
      </c>
      <c r="KB7" s="140" t="s">
        <v>581</v>
      </c>
      <c r="KC7" s="140" t="s">
        <v>586</v>
      </c>
      <c r="KD7" s="140" t="s">
        <v>587</v>
      </c>
      <c r="KE7" s="140" t="s">
        <v>589</v>
      </c>
      <c r="KF7" s="140" t="s">
        <v>606</v>
      </c>
      <c r="KG7" s="140" t="s">
        <v>563</v>
      </c>
      <c r="KH7" s="140" t="s">
        <v>494</v>
      </c>
      <c r="KI7" s="140" t="s">
        <v>497</v>
      </c>
      <c r="KJ7" s="140" t="s">
        <v>499</v>
      </c>
      <c r="KK7" s="140" t="s">
        <v>506</v>
      </c>
      <c r="KL7" s="140" t="s">
        <v>522</v>
      </c>
      <c r="KM7" s="140" t="s">
        <v>528</v>
      </c>
      <c r="KN7" s="140" t="s">
        <v>538</v>
      </c>
      <c r="KO7" s="140" t="s">
        <v>542</v>
      </c>
      <c r="KP7" s="140" t="s">
        <v>358</v>
      </c>
      <c r="KQ7" s="140" t="s">
        <v>359</v>
      </c>
      <c r="KR7" s="140" t="s">
        <v>375</v>
      </c>
      <c r="KS7" s="140" t="s">
        <v>385</v>
      </c>
      <c r="KT7" s="140" t="s">
        <v>977</v>
      </c>
      <c r="KU7" s="140" t="s">
        <v>450</v>
      </c>
      <c r="KV7" s="140" t="s">
        <v>455</v>
      </c>
      <c r="KW7" s="140" t="s">
        <v>338</v>
      </c>
      <c r="KX7" s="140" t="s">
        <v>469</v>
      </c>
      <c r="KY7" s="140" t="s">
        <v>470</v>
      </c>
      <c r="KZ7" s="140" t="s">
        <v>471</v>
      </c>
      <c r="LA7" s="140" t="s">
        <v>460</v>
      </c>
      <c r="LB7" s="140" t="s">
        <v>517</v>
      </c>
      <c r="LC7" s="140" t="s">
        <v>598</v>
      </c>
      <c r="LD7" s="140" t="s">
        <v>995</v>
      </c>
      <c r="LE7" s="140" t="s">
        <v>599</v>
      </c>
      <c r="LF7" s="140" t="s">
        <v>603</v>
      </c>
      <c r="LG7" s="140" t="s">
        <v>675</v>
      </c>
      <c r="LH7" s="140" t="s">
        <v>683</v>
      </c>
      <c r="LI7" s="140" t="s">
        <v>691</v>
      </c>
      <c r="LJ7" s="140" t="s">
        <v>693</v>
      </c>
      <c r="LK7" s="140" t="s">
        <v>703</v>
      </c>
      <c r="LL7" s="140" t="s">
        <v>705</v>
      </c>
      <c r="LM7" s="140" t="s">
        <v>709</v>
      </c>
      <c r="LN7" s="140" t="s">
        <v>713</v>
      </c>
      <c r="LO7" s="140" t="s">
        <v>717</v>
      </c>
      <c r="LP7" s="140" t="s">
        <v>723</v>
      </c>
      <c r="LQ7" s="140" t="s">
        <v>724</v>
      </c>
      <c r="LR7" s="140" t="s">
        <v>996</v>
      </c>
      <c r="LS7" s="140" t="s">
        <v>605</v>
      </c>
      <c r="LT7" s="140" t="s">
        <v>652</v>
      </c>
      <c r="LU7" s="140" t="s">
        <v>664</v>
      </c>
      <c r="LV7" s="140" t="s">
        <v>621</v>
      </c>
      <c r="LW7" s="140" t="s">
        <v>627</v>
      </c>
      <c r="LX7" s="140" t="s">
        <v>608</v>
      </c>
      <c r="LY7" s="140" t="s">
        <v>443</v>
      </c>
      <c r="LZ7" s="140" t="s">
        <v>978</v>
      </c>
      <c r="MA7" s="140" t="s">
        <v>350</v>
      </c>
      <c r="MB7" s="140" t="s">
        <v>381</v>
      </c>
      <c r="MC7" s="140" t="s">
        <v>997</v>
      </c>
      <c r="MD7" s="140" t="s">
        <v>462</v>
      </c>
      <c r="ME7" s="140" t="s">
        <v>979</v>
      </c>
      <c r="MF7" s="140" t="s">
        <v>464</v>
      </c>
      <c r="MG7" s="140" t="s">
        <v>465</v>
      </c>
      <c r="MH7" s="140" t="s">
        <v>467</v>
      </c>
      <c r="MI7" s="140" t="s">
        <v>468</v>
      </c>
      <c r="MJ7" s="140" t="s">
        <v>476</v>
      </c>
      <c r="MK7" s="140" t="s">
        <v>998</v>
      </c>
      <c r="ML7" s="140" t="s">
        <v>999</v>
      </c>
      <c r="MM7" s="140" t="s">
        <v>489</v>
      </c>
      <c r="MN7" s="140" t="s">
        <v>503</v>
      </c>
      <c r="MO7" s="140" t="s">
        <v>511</v>
      </c>
      <c r="MP7" s="140" t="s">
        <v>512</v>
      </c>
      <c r="MQ7" s="140" t="s">
        <v>520</v>
      </c>
      <c r="MR7" s="140" t="s">
        <v>526</v>
      </c>
      <c r="MS7" s="140" t="s">
        <v>527</v>
      </c>
      <c r="MT7" s="140" t="s">
        <v>534</v>
      </c>
      <c r="MU7" s="140" t="s">
        <v>1000</v>
      </c>
      <c r="MV7" s="140" t="s">
        <v>541</v>
      </c>
      <c r="MW7" s="140" t="s">
        <v>546</v>
      </c>
      <c r="MX7" s="140" t="s">
        <v>549</v>
      </c>
      <c r="MY7" s="140" t="s">
        <v>557</v>
      </c>
      <c r="MZ7" s="140" t="s">
        <v>555</v>
      </c>
      <c r="NA7" s="140" t="s">
        <v>561</v>
      </c>
      <c r="NB7" s="140" t="s">
        <v>571</v>
      </c>
      <c r="NC7" s="140" t="s">
        <v>583</v>
      </c>
      <c r="ND7" s="140" t="s">
        <v>577</v>
      </c>
      <c r="NE7" s="140" t="s">
        <v>584</v>
      </c>
      <c r="NF7" s="140" t="s">
        <v>590</v>
      </c>
      <c r="NG7" s="140" t="s">
        <v>449</v>
      </c>
      <c r="NH7" s="140" t="s">
        <v>451</v>
      </c>
      <c r="NI7" s="140" t="s">
        <v>452</v>
      </c>
      <c r="NJ7" s="140" t="s">
        <v>412</v>
      </c>
      <c r="NK7" s="140" t="s">
        <v>414</v>
      </c>
      <c r="NL7" s="140" t="s">
        <v>421</v>
      </c>
      <c r="NM7" s="140" t="s">
        <v>420</v>
      </c>
      <c r="NN7" s="140" t="s">
        <v>397</v>
      </c>
      <c r="NO7" s="140" t="s">
        <v>430</v>
      </c>
      <c r="NP7" s="140" t="s">
        <v>433</v>
      </c>
      <c r="NQ7" s="140" t="s">
        <v>668</v>
      </c>
      <c r="NR7" s="140" t="s">
        <v>595</v>
      </c>
      <c r="NS7" s="140" t="s">
        <v>685</v>
      </c>
      <c r="NT7" s="140" t="s">
        <v>686</v>
      </c>
      <c r="NU7" s="140" t="s">
        <v>697</v>
      </c>
      <c r="NV7" s="140" t="s">
        <v>980</v>
      </c>
      <c r="NW7" s="140" t="s">
        <v>378</v>
      </c>
      <c r="NX7" s="140" t="s">
        <v>413</v>
      </c>
      <c r="NY7" s="140" t="s">
        <v>435</v>
      </c>
      <c r="NZ7" s="140" t="s">
        <v>444</v>
      </c>
      <c r="OA7" s="140" t="s">
        <v>436</v>
      </c>
      <c r="OB7" s="140" t="s">
        <v>588</v>
      </c>
      <c r="OC7" s="140" t="s">
        <v>610</v>
      </c>
      <c r="OD7" s="140" t="s">
        <v>559</v>
      </c>
      <c r="OE7" s="140" t="s">
        <v>1001</v>
      </c>
      <c r="OF7" s="140" t="s">
        <v>562</v>
      </c>
      <c r="OG7" s="140" t="s">
        <v>399</v>
      </c>
      <c r="OH7" s="140" t="s">
        <v>981</v>
      </c>
      <c r="OI7" s="140" t="s">
        <v>325</v>
      </c>
      <c r="OJ7" s="140" t="s">
        <v>461</v>
      </c>
      <c r="OK7" s="140" t="s">
        <v>466</v>
      </c>
      <c r="OL7" s="140" t="s">
        <v>326</v>
      </c>
      <c r="OM7" s="140" t="s">
        <v>332</v>
      </c>
      <c r="ON7" s="140" t="s">
        <v>366</v>
      </c>
      <c r="OO7" s="140" t="s">
        <v>333</v>
      </c>
      <c r="OP7" s="140" t="s">
        <v>334</v>
      </c>
      <c r="OQ7" s="140" t="s">
        <v>310</v>
      </c>
      <c r="OR7" s="140" t="s">
        <v>311</v>
      </c>
      <c r="OS7" s="140" t="s">
        <v>313</v>
      </c>
      <c r="OT7" s="140" t="s">
        <v>314</v>
      </c>
      <c r="OU7" s="140" t="s">
        <v>982</v>
      </c>
      <c r="OV7" s="140" t="s">
        <v>351</v>
      </c>
      <c r="OW7" s="140" t="s">
        <v>363</v>
      </c>
      <c r="OX7" s="140" t="s">
        <v>364</v>
      </c>
      <c r="OY7" s="140" t="s">
        <v>368</v>
      </c>
      <c r="OZ7" s="140" t="s">
        <v>370</v>
      </c>
      <c r="PA7" s="140" t="s">
        <v>374</v>
      </c>
      <c r="PB7" s="140" t="s">
        <v>410</v>
      </c>
      <c r="PC7" s="140" t="s">
        <v>396</v>
      </c>
      <c r="PD7" s="140" t="s">
        <v>393</v>
      </c>
      <c r="PE7" s="140" t="s">
        <v>400</v>
      </c>
      <c r="PF7" s="140" t="s">
        <v>404</v>
      </c>
      <c r="PG7" s="140" t="s">
        <v>409</v>
      </c>
      <c r="PH7" s="140" t="s">
        <v>411</v>
      </c>
      <c r="PI7" s="140" t="s">
        <v>405</v>
      </c>
      <c r="PJ7" s="140" t="s">
        <v>417</v>
      </c>
      <c r="PK7" s="140" t="s">
        <v>418</v>
      </c>
      <c r="PL7" s="140" t="s">
        <v>423</v>
      </c>
      <c r="PM7" s="140" t="s">
        <v>424</v>
      </c>
      <c r="PN7" s="140" t="s">
        <v>502</v>
      </c>
      <c r="PO7" s="140" t="s">
        <v>481</v>
      </c>
      <c r="PP7" s="140" t="s">
        <v>1002</v>
      </c>
      <c r="PQ7" s="140" t="s">
        <v>487</v>
      </c>
      <c r="PR7" s="140" t="s">
        <v>567</v>
      </c>
      <c r="PS7" s="140" t="s">
        <v>568</v>
      </c>
      <c r="PT7" s="140" t="s">
        <v>425</v>
      </c>
      <c r="PU7" s="140" t="s">
        <v>440</v>
      </c>
      <c r="PV7" s="140" t="s">
        <v>427</v>
      </c>
      <c r="PW7" s="140" t="s">
        <v>457</v>
      </c>
      <c r="PX7" s="140" t="s">
        <v>474</v>
      </c>
      <c r="PY7" s="140" t="s">
        <v>829</v>
      </c>
      <c r="PZ7" s="140" t="s">
        <v>983</v>
      </c>
      <c r="QA7" s="140" t="s">
        <v>463</v>
      </c>
      <c r="QB7" s="140" t="s">
        <v>1003</v>
      </c>
      <c r="QC7" s="140" t="s">
        <v>442</v>
      </c>
      <c r="QD7" s="140" t="s">
        <v>828</v>
      </c>
      <c r="QE7" s="140" t="s">
        <v>475</v>
      </c>
      <c r="QF7" s="140" t="s">
        <v>477</v>
      </c>
      <c r="QG7" s="140" t="s">
        <v>500</v>
      </c>
      <c r="QH7" s="140" t="s">
        <v>501</v>
      </c>
      <c r="QI7" s="140" t="s">
        <v>510</v>
      </c>
      <c r="QJ7" s="140" t="s">
        <v>519</v>
      </c>
      <c r="QK7" s="140" t="s">
        <v>535</v>
      </c>
      <c r="QL7" s="140" t="s">
        <v>1004</v>
      </c>
      <c r="QM7" s="140" t="s">
        <v>565</v>
      </c>
      <c r="QN7" s="140" t="s">
        <v>612</v>
      </c>
      <c r="QO7" s="140" t="s">
        <v>699</v>
      </c>
      <c r="QP7" s="140" t="s">
        <v>625</v>
      </c>
      <c r="QQ7" s="140" t="s">
        <v>636</v>
      </c>
      <c r="QR7" s="140" t="s">
        <v>631</v>
      </c>
      <c r="QS7" s="140" t="s">
        <v>639</v>
      </c>
      <c r="QT7" s="140" t="s">
        <v>566</v>
      </c>
      <c r="QU7" s="140" t="s">
        <v>641</v>
      </c>
      <c r="QV7" s="140" t="s">
        <v>640</v>
      </c>
      <c r="QW7" s="140" t="s">
        <v>642</v>
      </c>
      <c r="QX7" s="140" t="s">
        <v>643</v>
      </c>
      <c r="QY7" s="140" t="s">
        <v>644</v>
      </c>
      <c r="QZ7" s="140" t="s">
        <v>645</v>
      </c>
      <c r="RA7" s="140" t="s">
        <v>646</v>
      </c>
      <c r="RB7" s="140" t="s">
        <v>647</v>
      </c>
      <c r="RC7" s="140" t="s">
        <v>648</v>
      </c>
      <c r="RD7" s="140" t="s">
        <v>655</v>
      </c>
      <c r="RE7" s="140" t="s">
        <v>660</v>
      </c>
      <c r="RF7" s="140" t="s">
        <v>656</v>
      </c>
      <c r="RG7" s="140" t="s">
        <v>657</v>
      </c>
      <c r="RH7" s="140" t="s">
        <v>658</v>
      </c>
      <c r="RI7" s="140" t="s">
        <v>659</v>
      </c>
      <c r="RJ7" s="140" t="s">
        <v>662</v>
      </c>
      <c r="RK7" s="140" t="s">
        <v>661</v>
      </c>
      <c r="RL7" s="140" t="s">
        <v>666</v>
      </c>
      <c r="RM7" s="140" t="s">
        <v>667</v>
      </c>
      <c r="RN7" s="140" t="s">
        <v>669</v>
      </c>
    </row>
    <row r="8" spans="1:482" s="58" customFormat="1" ht="11.25" customHeight="1" x14ac:dyDescent="0.2">
      <c r="A8" s="169"/>
      <c r="B8" s="175" t="s">
        <v>852</v>
      </c>
      <c r="C8" s="175"/>
      <c r="D8" s="172"/>
      <c r="E8" s="113" t="s">
        <v>728</v>
      </c>
      <c r="F8" s="113" t="s">
        <v>729</v>
      </c>
      <c r="G8" s="113" t="s">
        <v>729</v>
      </c>
      <c r="H8" s="113" t="s">
        <v>728</v>
      </c>
      <c r="I8" s="113" t="s">
        <v>729</v>
      </c>
      <c r="J8" s="113" t="s">
        <v>728</v>
      </c>
      <c r="K8" s="113" t="s">
        <v>729</v>
      </c>
      <c r="L8" s="113" t="s">
        <v>729</v>
      </c>
      <c r="M8" s="113" t="s">
        <v>728</v>
      </c>
      <c r="N8" s="113" t="s">
        <v>729</v>
      </c>
      <c r="O8" s="113" t="s">
        <v>729</v>
      </c>
      <c r="P8" s="113" t="s">
        <v>729</v>
      </c>
      <c r="Q8" s="113" t="s">
        <v>729</v>
      </c>
      <c r="R8" s="113" t="s">
        <v>729</v>
      </c>
      <c r="S8" s="113" t="s">
        <v>729</v>
      </c>
      <c r="T8" s="113" t="s">
        <v>729</v>
      </c>
      <c r="U8" s="113" t="s">
        <v>729</v>
      </c>
      <c r="V8" s="113" t="s">
        <v>729</v>
      </c>
      <c r="W8" s="113" t="s">
        <v>729</v>
      </c>
      <c r="X8" s="113" t="s">
        <v>729</v>
      </c>
      <c r="Y8" s="113" t="s">
        <v>729</v>
      </c>
      <c r="Z8" s="113" t="s">
        <v>729</v>
      </c>
      <c r="AA8" s="113" t="s">
        <v>729</v>
      </c>
      <c r="AB8" s="113" t="s">
        <v>729</v>
      </c>
      <c r="AC8" s="113" t="s">
        <v>729</v>
      </c>
      <c r="AD8" s="113" t="s">
        <v>729</v>
      </c>
      <c r="AE8" s="113" t="s">
        <v>729</v>
      </c>
      <c r="AF8" s="113" t="s">
        <v>729</v>
      </c>
      <c r="AG8" s="113" t="s">
        <v>729</v>
      </c>
      <c r="AH8" s="113" t="s">
        <v>729</v>
      </c>
      <c r="AI8" s="113" t="s">
        <v>729</v>
      </c>
      <c r="AJ8" s="113" t="s">
        <v>729</v>
      </c>
      <c r="AK8" s="113" t="s">
        <v>729</v>
      </c>
      <c r="AL8" s="113" t="s">
        <v>729</v>
      </c>
      <c r="AM8" s="113" t="s">
        <v>729</v>
      </c>
      <c r="AN8" s="113" t="s">
        <v>729</v>
      </c>
      <c r="AO8" s="113" t="s">
        <v>729</v>
      </c>
      <c r="AP8" s="113" t="s">
        <v>729</v>
      </c>
      <c r="AQ8" s="113" t="s">
        <v>729</v>
      </c>
      <c r="AR8" s="113" t="s">
        <v>729</v>
      </c>
      <c r="AS8" s="113" t="s">
        <v>729</v>
      </c>
      <c r="AT8" s="113" t="s">
        <v>729</v>
      </c>
      <c r="AU8" s="113" t="s">
        <v>729</v>
      </c>
      <c r="AV8" s="113" t="s">
        <v>729</v>
      </c>
      <c r="AW8" s="113" t="s">
        <v>728</v>
      </c>
      <c r="AX8" s="113" t="s">
        <v>729</v>
      </c>
      <c r="AY8" s="113" t="s">
        <v>729</v>
      </c>
      <c r="AZ8" s="113" t="s">
        <v>729</v>
      </c>
      <c r="BA8" s="113" t="s">
        <v>729</v>
      </c>
      <c r="BB8" s="113" t="s">
        <v>729</v>
      </c>
      <c r="BC8" s="113" t="s">
        <v>729</v>
      </c>
      <c r="BD8" s="113" t="s">
        <v>729</v>
      </c>
      <c r="BE8" s="113" t="s">
        <v>728</v>
      </c>
      <c r="BF8" s="113" t="s">
        <v>729</v>
      </c>
      <c r="BG8" s="113" t="s">
        <v>729</v>
      </c>
      <c r="BH8" s="113" t="s">
        <v>729</v>
      </c>
      <c r="BI8" s="113" t="s">
        <v>729</v>
      </c>
      <c r="BJ8" s="113" t="s">
        <v>729</v>
      </c>
      <c r="BK8" s="113" t="s">
        <v>916</v>
      </c>
      <c r="BL8" s="136" t="s">
        <v>729</v>
      </c>
      <c r="BM8" s="136" t="s">
        <v>729</v>
      </c>
      <c r="BN8" s="136" t="s">
        <v>729</v>
      </c>
      <c r="BO8" s="136" t="s">
        <v>729</v>
      </c>
      <c r="BP8" s="136" t="s">
        <v>729</v>
      </c>
      <c r="BQ8" s="136" t="s">
        <v>729</v>
      </c>
      <c r="BR8" s="136" t="s">
        <v>729</v>
      </c>
      <c r="BS8" s="136" t="s">
        <v>729</v>
      </c>
      <c r="BT8" s="136" t="s">
        <v>729</v>
      </c>
      <c r="BU8" s="136" t="s">
        <v>729</v>
      </c>
      <c r="BV8" s="136" t="s">
        <v>729</v>
      </c>
      <c r="BW8" s="136" t="s">
        <v>729</v>
      </c>
      <c r="BX8" s="136" t="s">
        <v>729</v>
      </c>
      <c r="BY8" s="136" t="s">
        <v>729</v>
      </c>
      <c r="BZ8" s="136" t="s">
        <v>729</v>
      </c>
      <c r="CA8" s="136" t="s">
        <v>729</v>
      </c>
      <c r="CB8" s="136" t="s">
        <v>729</v>
      </c>
      <c r="CC8" s="136" t="s">
        <v>729</v>
      </c>
      <c r="CD8" s="136" t="s">
        <v>729</v>
      </c>
      <c r="CE8" s="136" t="s">
        <v>729</v>
      </c>
      <c r="CF8" s="136" t="s">
        <v>729</v>
      </c>
      <c r="CG8" s="136" t="s">
        <v>729</v>
      </c>
      <c r="CH8" s="136" t="s">
        <v>729</v>
      </c>
      <c r="CI8" s="136" t="s">
        <v>729</v>
      </c>
      <c r="CJ8" s="136" t="s">
        <v>729</v>
      </c>
      <c r="CK8" s="136" t="s">
        <v>729</v>
      </c>
      <c r="CL8" s="136" t="s">
        <v>729</v>
      </c>
      <c r="CM8" s="136" t="s">
        <v>729</v>
      </c>
      <c r="CN8" s="136" t="s">
        <v>729</v>
      </c>
      <c r="CO8" s="136" t="s">
        <v>729</v>
      </c>
      <c r="CP8" s="136" t="s">
        <v>729</v>
      </c>
      <c r="CQ8" s="136" t="s">
        <v>729</v>
      </c>
      <c r="CR8" s="136" t="s">
        <v>729</v>
      </c>
      <c r="CS8" s="136" t="s">
        <v>729</v>
      </c>
      <c r="CT8" s="136" t="s">
        <v>730</v>
      </c>
      <c r="CU8" s="136" t="s">
        <v>729</v>
      </c>
      <c r="CV8" s="136" t="s">
        <v>729</v>
      </c>
      <c r="CW8" s="136" t="s">
        <v>729</v>
      </c>
      <c r="CX8" s="136" t="s">
        <v>729</v>
      </c>
      <c r="CY8" s="136" t="s">
        <v>729</v>
      </c>
      <c r="CZ8" s="136" t="s">
        <v>729</v>
      </c>
      <c r="DA8" s="136" t="s">
        <v>729</v>
      </c>
      <c r="DB8" s="136" t="s">
        <v>729</v>
      </c>
      <c r="DC8" s="136" t="s">
        <v>729</v>
      </c>
      <c r="DD8" s="136" t="s">
        <v>729</v>
      </c>
      <c r="DE8" s="136" t="s">
        <v>729</v>
      </c>
      <c r="DF8" s="136" t="s">
        <v>729</v>
      </c>
      <c r="DG8" s="136" t="s">
        <v>729</v>
      </c>
      <c r="DH8" s="136" t="s">
        <v>729</v>
      </c>
      <c r="DI8" s="136" t="s">
        <v>729</v>
      </c>
      <c r="DJ8" s="136" t="s">
        <v>729</v>
      </c>
      <c r="DK8" s="136" t="s">
        <v>729</v>
      </c>
      <c r="DL8" s="136" t="s">
        <v>729</v>
      </c>
      <c r="DM8" s="136" t="s">
        <v>729</v>
      </c>
      <c r="DN8" s="136" t="s">
        <v>729</v>
      </c>
      <c r="DO8" s="136" t="s">
        <v>729</v>
      </c>
      <c r="DP8" s="136" t="s">
        <v>729</v>
      </c>
      <c r="DQ8" s="136" t="s">
        <v>729</v>
      </c>
      <c r="DR8" s="136" t="s">
        <v>729</v>
      </c>
      <c r="DS8" s="136" t="s">
        <v>729</v>
      </c>
      <c r="DT8" s="136" t="s">
        <v>729</v>
      </c>
      <c r="DU8" s="136" t="s">
        <v>729</v>
      </c>
      <c r="DV8" s="136" t="s">
        <v>729</v>
      </c>
      <c r="DW8" s="136" t="s">
        <v>729</v>
      </c>
      <c r="DX8" s="137" t="s">
        <v>729</v>
      </c>
      <c r="DY8" s="136" t="s">
        <v>729</v>
      </c>
      <c r="DZ8" s="136" t="s">
        <v>729</v>
      </c>
      <c r="EA8" s="136" t="s">
        <v>729</v>
      </c>
      <c r="EB8" s="136" t="s">
        <v>729</v>
      </c>
      <c r="EC8" s="136" t="s">
        <v>729</v>
      </c>
      <c r="ED8" s="136" t="s">
        <v>729</v>
      </c>
      <c r="EE8" s="136" t="s">
        <v>729</v>
      </c>
      <c r="EF8" s="136" t="s">
        <v>729</v>
      </c>
      <c r="EG8" s="136" t="s">
        <v>729</v>
      </c>
      <c r="EH8" s="136" t="s">
        <v>729</v>
      </c>
      <c r="EI8" s="136" t="s">
        <v>729</v>
      </c>
      <c r="EJ8" s="136" t="s">
        <v>729</v>
      </c>
      <c r="EK8" s="136" t="s">
        <v>729</v>
      </c>
      <c r="EL8" s="136" t="s">
        <v>729</v>
      </c>
      <c r="EM8" s="136" t="s">
        <v>729</v>
      </c>
      <c r="EN8" s="136" t="s">
        <v>729</v>
      </c>
      <c r="EO8" s="136" t="s">
        <v>729</v>
      </c>
      <c r="EP8" s="136" t="s">
        <v>729</v>
      </c>
      <c r="EQ8" s="136" t="s">
        <v>729</v>
      </c>
      <c r="ER8" s="138" t="s">
        <v>729</v>
      </c>
      <c r="ES8" s="136" t="s">
        <v>729</v>
      </c>
      <c r="ET8" s="136" t="s">
        <v>729</v>
      </c>
      <c r="EU8" s="136" t="s">
        <v>729</v>
      </c>
      <c r="EV8" s="136" t="s">
        <v>729</v>
      </c>
      <c r="EW8" s="136" t="s">
        <v>729</v>
      </c>
      <c r="EX8" s="136" t="s">
        <v>729</v>
      </c>
      <c r="EY8" s="136" t="s">
        <v>729</v>
      </c>
      <c r="EZ8" s="136" t="s">
        <v>729</v>
      </c>
      <c r="FA8" s="136" t="s">
        <v>729</v>
      </c>
      <c r="FB8" s="136" t="s">
        <v>729</v>
      </c>
      <c r="FC8" s="136" t="s">
        <v>729</v>
      </c>
      <c r="FD8" s="136" t="s">
        <v>729</v>
      </c>
      <c r="FE8" s="136" t="s">
        <v>729</v>
      </c>
      <c r="FF8" s="136" t="s">
        <v>1005</v>
      </c>
      <c r="FG8" s="136" t="s">
        <v>729</v>
      </c>
      <c r="FH8" s="136" t="s">
        <v>729</v>
      </c>
      <c r="FI8" s="136" t="s">
        <v>729</v>
      </c>
      <c r="FJ8" s="136" t="s">
        <v>729</v>
      </c>
      <c r="FK8" s="136" t="s">
        <v>729</v>
      </c>
      <c r="FL8" s="136" t="s">
        <v>729</v>
      </c>
      <c r="FM8" s="136" t="s">
        <v>729</v>
      </c>
      <c r="FN8" s="136" t="s">
        <v>729</v>
      </c>
      <c r="FO8" s="136" t="s">
        <v>729</v>
      </c>
      <c r="FP8" s="136" t="s">
        <v>729</v>
      </c>
      <c r="FQ8" s="136" t="s">
        <v>729</v>
      </c>
      <c r="FR8" s="136" t="s">
        <v>729</v>
      </c>
      <c r="FS8" s="136" t="s">
        <v>729</v>
      </c>
      <c r="FT8" s="136" t="s">
        <v>729</v>
      </c>
      <c r="FU8" s="136" t="s">
        <v>729</v>
      </c>
      <c r="FV8" s="136" t="s">
        <v>729</v>
      </c>
      <c r="FW8" s="136" t="s">
        <v>729</v>
      </c>
      <c r="FX8" s="136" t="s">
        <v>729</v>
      </c>
      <c r="FY8" s="136" t="s">
        <v>729</v>
      </c>
      <c r="FZ8" s="136" t="s">
        <v>729</v>
      </c>
      <c r="GA8" s="136" t="s">
        <v>729</v>
      </c>
      <c r="GB8" s="136" t="s">
        <v>729</v>
      </c>
      <c r="GC8" s="136" t="s">
        <v>729</v>
      </c>
      <c r="GD8" s="136" t="s">
        <v>729</v>
      </c>
      <c r="GE8" s="136" t="s">
        <v>729</v>
      </c>
      <c r="GF8" s="136" t="s">
        <v>729</v>
      </c>
      <c r="GG8" s="136" t="s">
        <v>729</v>
      </c>
      <c r="GH8" s="136" t="s">
        <v>729</v>
      </c>
      <c r="GI8" s="136" t="s">
        <v>729</v>
      </c>
      <c r="GJ8" s="136" t="s">
        <v>729</v>
      </c>
      <c r="GK8" s="136" t="s">
        <v>729</v>
      </c>
      <c r="GL8" s="136" t="s">
        <v>729</v>
      </c>
      <c r="GM8" s="136" t="s">
        <v>729</v>
      </c>
      <c r="GN8" s="136" t="s">
        <v>729</v>
      </c>
      <c r="GO8" s="136" t="s">
        <v>729</v>
      </c>
      <c r="GP8" s="136" t="s">
        <v>729</v>
      </c>
      <c r="GQ8" s="136" t="s">
        <v>729</v>
      </c>
      <c r="GR8" s="136" t="s">
        <v>729</v>
      </c>
      <c r="GS8" s="136" t="s">
        <v>729</v>
      </c>
      <c r="GT8" s="136" t="s">
        <v>729</v>
      </c>
      <c r="GU8" s="136" t="s">
        <v>729</v>
      </c>
      <c r="GV8" s="136" t="s">
        <v>729</v>
      </c>
      <c r="GW8" s="136" t="s">
        <v>729</v>
      </c>
      <c r="GX8" s="136" t="s">
        <v>729</v>
      </c>
      <c r="GY8" s="136" t="s">
        <v>729</v>
      </c>
      <c r="GZ8" s="136" t="s">
        <v>729</v>
      </c>
      <c r="HA8" s="136" t="s">
        <v>729</v>
      </c>
      <c r="HB8" s="136" t="s">
        <v>729</v>
      </c>
      <c r="HC8" s="136" t="s">
        <v>729</v>
      </c>
      <c r="HD8" s="136" t="s">
        <v>729</v>
      </c>
      <c r="HE8" s="136" t="s">
        <v>729</v>
      </c>
      <c r="HF8" s="136" t="s">
        <v>729</v>
      </c>
      <c r="HG8" s="136" t="s">
        <v>729</v>
      </c>
      <c r="HH8" s="136" t="s">
        <v>729</v>
      </c>
      <c r="HI8" s="136" t="s">
        <v>729</v>
      </c>
      <c r="HJ8" s="136" t="s">
        <v>729</v>
      </c>
      <c r="HK8" s="136" t="s">
        <v>729</v>
      </c>
      <c r="HL8" s="136" t="s">
        <v>729</v>
      </c>
      <c r="HM8" s="136" t="s">
        <v>729</v>
      </c>
      <c r="HN8" s="136" t="s">
        <v>729</v>
      </c>
      <c r="HO8" s="136" t="s">
        <v>729</v>
      </c>
      <c r="HP8" s="136" t="s">
        <v>729</v>
      </c>
      <c r="HQ8" s="136" t="s">
        <v>729</v>
      </c>
      <c r="HR8" s="136" t="s">
        <v>729</v>
      </c>
      <c r="HS8" s="136" t="s">
        <v>729</v>
      </c>
      <c r="HT8" s="136" t="s">
        <v>729</v>
      </c>
      <c r="HU8" s="136" t="s">
        <v>729</v>
      </c>
      <c r="HV8" s="136" t="s">
        <v>729</v>
      </c>
      <c r="HW8" s="136" t="s">
        <v>729</v>
      </c>
      <c r="HX8" s="136" t="s">
        <v>729</v>
      </c>
      <c r="HY8" s="136" t="s">
        <v>729</v>
      </c>
      <c r="HZ8" s="136" t="s">
        <v>729</v>
      </c>
      <c r="IA8" s="136" t="s">
        <v>729</v>
      </c>
      <c r="IB8" s="136" t="s">
        <v>729</v>
      </c>
      <c r="IC8" s="136" t="s">
        <v>729</v>
      </c>
      <c r="ID8" s="136" t="s">
        <v>729</v>
      </c>
      <c r="IE8" s="136" t="s">
        <v>729</v>
      </c>
      <c r="IF8" s="136" t="s">
        <v>729</v>
      </c>
      <c r="IG8" s="136" t="s">
        <v>729</v>
      </c>
      <c r="IH8" s="136" t="s">
        <v>729</v>
      </c>
      <c r="II8" s="136" t="s">
        <v>729</v>
      </c>
      <c r="IJ8" s="136" t="s">
        <v>729</v>
      </c>
      <c r="IK8" s="136" t="s">
        <v>729</v>
      </c>
      <c r="IL8" s="136" t="s">
        <v>729</v>
      </c>
      <c r="IM8" s="138" t="s">
        <v>729</v>
      </c>
      <c r="IN8" s="136" t="s">
        <v>729</v>
      </c>
      <c r="IO8" s="136" t="s">
        <v>729</v>
      </c>
      <c r="IP8" s="136" t="s">
        <v>729</v>
      </c>
      <c r="IQ8" s="136" t="s">
        <v>729</v>
      </c>
      <c r="IR8" s="136" t="s">
        <v>729</v>
      </c>
      <c r="IS8" s="136" t="s">
        <v>729</v>
      </c>
      <c r="IT8" s="136" t="s">
        <v>729</v>
      </c>
      <c r="IU8" s="136" t="s">
        <v>729</v>
      </c>
      <c r="IV8" s="136" t="s">
        <v>729</v>
      </c>
      <c r="IW8" s="136" t="s">
        <v>729</v>
      </c>
      <c r="IX8" s="136" t="s">
        <v>729</v>
      </c>
      <c r="IY8" s="136" t="s">
        <v>729</v>
      </c>
      <c r="IZ8" s="136" t="s">
        <v>729</v>
      </c>
      <c r="JA8" s="136" t="s">
        <v>729</v>
      </c>
      <c r="JB8" s="136" t="s">
        <v>729</v>
      </c>
      <c r="JC8" s="136" t="s">
        <v>729</v>
      </c>
      <c r="JD8" s="136" t="s">
        <v>729</v>
      </c>
      <c r="JE8" s="136" t="s">
        <v>729</v>
      </c>
      <c r="JF8" s="136" t="s">
        <v>729</v>
      </c>
      <c r="JG8" s="136" t="s">
        <v>729</v>
      </c>
      <c r="JH8" s="136" t="s">
        <v>729</v>
      </c>
      <c r="JI8" s="136" t="s">
        <v>729</v>
      </c>
      <c r="JJ8" s="136" t="s">
        <v>729</v>
      </c>
      <c r="JK8" s="136" t="s">
        <v>729</v>
      </c>
      <c r="JL8" s="136" t="s">
        <v>729</v>
      </c>
      <c r="JM8" s="136" t="s">
        <v>729</v>
      </c>
      <c r="JN8" s="136" t="s">
        <v>729</v>
      </c>
      <c r="JO8" s="136" t="s">
        <v>729</v>
      </c>
      <c r="JP8" s="136" t="s">
        <v>729</v>
      </c>
      <c r="JQ8" s="136" t="s">
        <v>729</v>
      </c>
      <c r="JR8" s="136" t="s">
        <v>729</v>
      </c>
      <c r="JS8" s="136" t="s">
        <v>729</v>
      </c>
      <c r="JT8" s="136" t="s">
        <v>729</v>
      </c>
      <c r="JU8" s="136" t="s">
        <v>729</v>
      </c>
      <c r="JV8" s="136" t="s">
        <v>729</v>
      </c>
      <c r="JW8" s="136" t="s">
        <v>729</v>
      </c>
      <c r="JX8" s="136" t="s">
        <v>729</v>
      </c>
      <c r="JY8" s="136" t="s">
        <v>729</v>
      </c>
      <c r="JZ8" s="136" t="s">
        <v>729</v>
      </c>
      <c r="KA8" s="136" t="s">
        <v>729</v>
      </c>
      <c r="KB8" s="136" t="s">
        <v>729</v>
      </c>
      <c r="KC8" s="136" t="s">
        <v>729</v>
      </c>
      <c r="KD8" s="136" t="s">
        <v>729</v>
      </c>
      <c r="KE8" s="136" t="s">
        <v>729</v>
      </c>
      <c r="KF8" s="136" t="s">
        <v>729</v>
      </c>
      <c r="KG8" s="136" t="s">
        <v>729</v>
      </c>
      <c r="KH8" s="136" t="s">
        <v>729</v>
      </c>
      <c r="KI8" s="136" t="s">
        <v>729</v>
      </c>
      <c r="KJ8" s="136" t="s">
        <v>729</v>
      </c>
      <c r="KK8" s="136" t="s">
        <v>729</v>
      </c>
      <c r="KL8" s="136" t="s">
        <v>729</v>
      </c>
      <c r="KM8" s="136" t="s">
        <v>729</v>
      </c>
      <c r="KN8" s="136" t="s">
        <v>729</v>
      </c>
      <c r="KO8" s="136" t="s">
        <v>729</v>
      </c>
      <c r="KP8" s="136" t="s">
        <v>729</v>
      </c>
      <c r="KQ8" s="136" t="s">
        <v>729</v>
      </c>
      <c r="KR8" s="136" t="s">
        <v>729</v>
      </c>
      <c r="KS8" s="136" t="s">
        <v>729</v>
      </c>
      <c r="KT8" s="136" t="s">
        <v>729</v>
      </c>
      <c r="KU8" s="136" t="s">
        <v>729</v>
      </c>
      <c r="KV8" s="136" t="s">
        <v>729</v>
      </c>
      <c r="KW8" s="136" t="s">
        <v>729</v>
      </c>
      <c r="KX8" s="136" t="s">
        <v>729</v>
      </c>
      <c r="KY8" s="136" t="s">
        <v>729</v>
      </c>
      <c r="KZ8" s="136" t="s">
        <v>729</v>
      </c>
      <c r="LA8" s="136" t="s">
        <v>729</v>
      </c>
      <c r="LB8" s="136" t="s">
        <v>729</v>
      </c>
      <c r="LC8" s="136" t="s">
        <v>729</v>
      </c>
      <c r="LD8" s="136" t="s">
        <v>729</v>
      </c>
      <c r="LE8" s="136" t="s">
        <v>729</v>
      </c>
      <c r="LF8" s="136" t="s">
        <v>729</v>
      </c>
      <c r="LG8" s="136" t="s">
        <v>729</v>
      </c>
      <c r="LH8" s="136" t="s">
        <v>729</v>
      </c>
      <c r="LI8" s="136" t="s">
        <v>729</v>
      </c>
      <c r="LJ8" s="136" t="s">
        <v>729</v>
      </c>
      <c r="LK8" s="136" t="s">
        <v>729</v>
      </c>
      <c r="LL8" s="136" t="s">
        <v>729</v>
      </c>
      <c r="LM8" s="136" t="s">
        <v>729</v>
      </c>
      <c r="LN8" s="136" t="s">
        <v>729</v>
      </c>
      <c r="LO8" s="136" t="s">
        <v>729</v>
      </c>
      <c r="LP8" s="136" t="s">
        <v>729</v>
      </c>
      <c r="LQ8" s="136" t="s">
        <v>729</v>
      </c>
      <c r="LR8" s="136" t="s">
        <v>729</v>
      </c>
      <c r="LS8" s="136" t="s">
        <v>729</v>
      </c>
      <c r="LT8" s="136" t="s">
        <v>729</v>
      </c>
      <c r="LU8" s="136" t="s">
        <v>729</v>
      </c>
      <c r="LV8" s="136" t="s">
        <v>729</v>
      </c>
      <c r="LW8" s="136" t="s">
        <v>729</v>
      </c>
      <c r="LX8" s="136" t="s">
        <v>729</v>
      </c>
      <c r="LY8" s="136" t="s">
        <v>729</v>
      </c>
      <c r="LZ8" s="136" t="s">
        <v>729</v>
      </c>
      <c r="MA8" s="136" t="s">
        <v>729</v>
      </c>
      <c r="MB8" s="136" t="s">
        <v>729</v>
      </c>
      <c r="MC8" s="136" t="s">
        <v>729</v>
      </c>
      <c r="MD8" s="136" t="s">
        <v>729</v>
      </c>
      <c r="ME8" s="136" t="s">
        <v>729</v>
      </c>
      <c r="MF8" s="136" t="s">
        <v>729</v>
      </c>
      <c r="MG8" s="136" t="s">
        <v>729</v>
      </c>
      <c r="MH8" s="136" t="s">
        <v>729</v>
      </c>
      <c r="MI8" s="136" t="s">
        <v>729</v>
      </c>
      <c r="MJ8" s="136" t="s">
        <v>729</v>
      </c>
      <c r="MK8" s="136" t="s">
        <v>729</v>
      </c>
      <c r="ML8" s="136" t="s">
        <v>729</v>
      </c>
      <c r="MM8" s="136" t="s">
        <v>729</v>
      </c>
      <c r="MN8" s="136" t="s">
        <v>729</v>
      </c>
      <c r="MO8" s="136" t="s">
        <v>729</v>
      </c>
      <c r="MP8" s="136" t="s">
        <v>729</v>
      </c>
      <c r="MQ8" s="136" t="s">
        <v>729</v>
      </c>
      <c r="MR8" s="136" t="s">
        <v>729</v>
      </c>
      <c r="MS8" s="136" t="s">
        <v>729</v>
      </c>
      <c r="MT8" s="136" t="s">
        <v>729</v>
      </c>
      <c r="MU8" s="136" t="s">
        <v>729</v>
      </c>
      <c r="MV8" s="136" t="s">
        <v>729</v>
      </c>
      <c r="MW8" s="136" t="s">
        <v>729</v>
      </c>
      <c r="MX8" s="136" t="s">
        <v>729</v>
      </c>
      <c r="MY8" s="136" t="s">
        <v>729</v>
      </c>
      <c r="MZ8" s="136" t="s">
        <v>729</v>
      </c>
      <c r="NA8" s="136" t="s">
        <v>729</v>
      </c>
      <c r="NB8" s="136" t="s">
        <v>729</v>
      </c>
      <c r="NC8" s="136" t="s">
        <v>729</v>
      </c>
      <c r="ND8" s="136" t="s">
        <v>729</v>
      </c>
      <c r="NE8" s="136" t="s">
        <v>729</v>
      </c>
      <c r="NF8" s="136" t="s">
        <v>729</v>
      </c>
      <c r="NG8" s="136" t="s">
        <v>729</v>
      </c>
      <c r="NH8" s="136" t="s">
        <v>729</v>
      </c>
      <c r="NI8" s="136" t="s">
        <v>729</v>
      </c>
      <c r="NJ8" s="136" t="s">
        <v>729</v>
      </c>
      <c r="NK8" s="136" t="s">
        <v>729</v>
      </c>
      <c r="NL8" s="136" t="s">
        <v>729</v>
      </c>
      <c r="NM8" s="136" t="s">
        <v>729</v>
      </c>
      <c r="NN8" s="136" t="s">
        <v>729</v>
      </c>
      <c r="NO8" s="136" t="s">
        <v>729</v>
      </c>
      <c r="NP8" s="136" t="s">
        <v>729</v>
      </c>
      <c r="NQ8" s="136" t="s">
        <v>729</v>
      </c>
      <c r="NR8" s="136" t="s">
        <v>729</v>
      </c>
      <c r="NS8" s="136" t="s">
        <v>729</v>
      </c>
      <c r="NT8" s="136" t="s">
        <v>729</v>
      </c>
      <c r="NU8" s="136" t="s">
        <v>729</v>
      </c>
      <c r="NV8" s="136" t="s">
        <v>729</v>
      </c>
      <c r="NW8" s="136" t="s">
        <v>729</v>
      </c>
      <c r="NX8" s="136" t="s">
        <v>729</v>
      </c>
      <c r="NY8" s="136" t="s">
        <v>729</v>
      </c>
      <c r="NZ8" s="136" t="s">
        <v>729</v>
      </c>
      <c r="OA8" s="136" t="s">
        <v>729</v>
      </c>
      <c r="OB8" s="136" t="s">
        <v>729</v>
      </c>
      <c r="OC8" s="136" t="s">
        <v>729</v>
      </c>
      <c r="OD8" s="136" t="s">
        <v>729</v>
      </c>
      <c r="OE8" s="136" t="s">
        <v>729</v>
      </c>
      <c r="OF8" s="136" t="s">
        <v>729</v>
      </c>
      <c r="OG8" s="136" t="s">
        <v>729</v>
      </c>
      <c r="OH8" s="136" t="s">
        <v>729</v>
      </c>
      <c r="OI8" s="136" t="s">
        <v>729</v>
      </c>
      <c r="OJ8" s="136" t="s">
        <v>729</v>
      </c>
      <c r="OK8" s="136" t="s">
        <v>729</v>
      </c>
      <c r="OL8" s="136" t="s">
        <v>728</v>
      </c>
      <c r="OM8" s="136" t="s">
        <v>727</v>
      </c>
      <c r="ON8" s="136" t="s">
        <v>729</v>
      </c>
      <c r="OO8" s="136" t="s">
        <v>729</v>
      </c>
      <c r="OP8" s="136" t="s">
        <v>729</v>
      </c>
      <c r="OQ8" s="136" t="s">
        <v>729</v>
      </c>
      <c r="OR8" s="136" t="s">
        <v>729</v>
      </c>
      <c r="OS8" s="136" t="s">
        <v>729</v>
      </c>
      <c r="OT8" s="136" t="s">
        <v>729</v>
      </c>
      <c r="OU8" s="136" t="s">
        <v>729</v>
      </c>
      <c r="OV8" s="136" t="s">
        <v>729</v>
      </c>
      <c r="OW8" s="136" t="s">
        <v>729</v>
      </c>
      <c r="OX8" s="136" t="s">
        <v>729</v>
      </c>
      <c r="OY8" s="136" t="s">
        <v>729</v>
      </c>
      <c r="OZ8" s="136" t="s">
        <v>729</v>
      </c>
      <c r="PA8" s="136" t="s">
        <v>729</v>
      </c>
      <c r="PB8" s="136" t="s">
        <v>729</v>
      </c>
      <c r="PC8" s="136" t="s">
        <v>729</v>
      </c>
      <c r="PD8" s="136" t="s">
        <v>729</v>
      </c>
      <c r="PE8" s="136" t="s">
        <v>729</v>
      </c>
      <c r="PF8" s="136" t="s">
        <v>729</v>
      </c>
      <c r="PG8" s="136" t="s">
        <v>729</v>
      </c>
      <c r="PH8" s="136" t="s">
        <v>729</v>
      </c>
      <c r="PI8" s="136" t="s">
        <v>729</v>
      </c>
      <c r="PJ8" s="136" t="s">
        <v>729</v>
      </c>
      <c r="PK8" s="136" t="s">
        <v>729</v>
      </c>
      <c r="PL8" s="136" t="s">
        <v>729</v>
      </c>
      <c r="PM8" s="136" t="s">
        <v>729</v>
      </c>
      <c r="PN8" s="136" t="s">
        <v>729</v>
      </c>
      <c r="PO8" s="136" t="s">
        <v>729</v>
      </c>
      <c r="PP8" s="136" t="s">
        <v>729</v>
      </c>
      <c r="PQ8" s="136" t="s">
        <v>729</v>
      </c>
      <c r="PR8" s="136" t="s">
        <v>729</v>
      </c>
      <c r="PS8" s="136" t="s">
        <v>729</v>
      </c>
      <c r="PT8" s="136" t="s">
        <v>729</v>
      </c>
      <c r="PU8" s="136" t="s">
        <v>729</v>
      </c>
      <c r="PV8" s="136" t="s">
        <v>729</v>
      </c>
      <c r="PW8" s="136" t="s">
        <v>729</v>
      </c>
      <c r="PX8" s="136" t="s">
        <v>729</v>
      </c>
      <c r="PY8" s="136" t="s">
        <v>729</v>
      </c>
      <c r="PZ8" s="136" t="s">
        <v>729</v>
      </c>
      <c r="QA8" s="136" t="s">
        <v>729</v>
      </c>
      <c r="QB8" s="136" t="s">
        <v>729</v>
      </c>
      <c r="QC8" s="136" t="s">
        <v>729</v>
      </c>
      <c r="QD8" s="136" t="s">
        <v>729</v>
      </c>
      <c r="QE8" s="136" t="s">
        <v>729</v>
      </c>
      <c r="QF8" s="136" t="s">
        <v>729</v>
      </c>
      <c r="QG8" s="136" t="s">
        <v>729</v>
      </c>
      <c r="QH8" s="136" t="s">
        <v>729</v>
      </c>
      <c r="QI8" s="136" t="s">
        <v>729</v>
      </c>
      <c r="QJ8" s="136" t="s">
        <v>729</v>
      </c>
      <c r="QK8" s="136" t="s">
        <v>729</v>
      </c>
      <c r="QL8" s="136" t="s">
        <v>729</v>
      </c>
      <c r="QM8" s="136" t="s">
        <v>729</v>
      </c>
      <c r="QN8" s="136" t="s">
        <v>729</v>
      </c>
      <c r="QO8" s="136" t="s">
        <v>729</v>
      </c>
      <c r="QP8" s="136" t="s">
        <v>729</v>
      </c>
      <c r="QQ8" s="136" t="s">
        <v>729</v>
      </c>
      <c r="QR8" s="136" t="s">
        <v>729</v>
      </c>
      <c r="QS8" s="136" t="s">
        <v>729</v>
      </c>
      <c r="QT8" s="136" t="s">
        <v>729</v>
      </c>
      <c r="QU8" s="136" t="s">
        <v>729</v>
      </c>
      <c r="QV8" s="136" t="s">
        <v>729</v>
      </c>
      <c r="QW8" s="136" t="s">
        <v>729</v>
      </c>
      <c r="QX8" s="139" t="s">
        <v>729</v>
      </c>
      <c r="QY8" s="136" t="s">
        <v>729</v>
      </c>
      <c r="QZ8" s="136" t="s">
        <v>729</v>
      </c>
      <c r="RA8" s="136" t="s">
        <v>729</v>
      </c>
      <c r="RB8" s="136" t="s">
        <v>729</v>
      </c>
      <c r="RC8" s="136" t="s">
        <v>729</v>
      </c>
      <c r="RD8" s="136" t="s">
        <v>729</v>
      </c>
      <c r="RE8" s="136" t="s">
        <v>729</v>
      </c>
      <c r="RF8" s="136" t="s">
        <v>729</v>
      </c>
      <c r="RG8" s="136" t="s">
        <v>729</v>
      </c>
      <c r="RH8" s="136" t="s">
        <v>729</v>
      </c>
      <c r="RI8" s="136" t="s">
        <v>729</v>
      </c>
      <c r="RJ8" s="136" t="s">
        <v>729</v>
      </c>
      <c r="RK8" s="136" t="s">
        <v>729</v>
      </c>
      <c r="RL8" s="136" t="s">
        <v>729</v>
      </c>
      <c r="RM8" s="136" t="s">
        <v>729</v>
      </c>
      <c r="RN8" s="136" t="s">
        <v>729</v>
      </c>
    </row>
    <row r="9" spans="1:482" ht="11.25" customHeight="1" x14ac:dyDescent="0.2">
      <c r="A9" s="121"/>
      <c r="B9" s="177" t="s">
        <v>732</v>
      </c>
      <c r="C9" s="177"/>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t="s">
        <v>912</v>
      </c>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102"/>
      <c r="DY9" s="99"/>
      <c r="DZ9" s="99"/>
      <c r="EA9" s="99"/>
      <c r="EB9" s="99"/>
      <c r="EC9" s="99"/>
      <c r="ED9" s="99"/>
      <c r="EE9" s="99"/>
      <c r="EF9" s="99"/>
      <c r="EG9" s="99"/>
      <c r="EH9" s="99"/>
      <c r="EI9" s="99"/>
      <c r="EJ9" s="99"/>
      <c r="EK9" s="99"/>
      <c r="EL9" s="99"/>
      <c r="EM9" s="99"/>
      <c r="EN9" s="99"/>
      <c r="EO9" s="99"/>
      <c r="EP9" s="99"/>
      <c r="EQ9" s="99"/>
      <c r="ER9" s="141"/>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141"/>
      <c r="IN9" s="99"/>
      <c r="IO9" s="99"/>
      <c r="IP9" s="99"/>
      <c r="IQ9" s="99"/>
      <c r="IR9" s="99"/>
      <c r="IS9" s="99"/>
      <c r="IT9" s="99"/>
      <c r="IU9" s="99"/>
      <c r="IV9" s="99"/>
      <c r="IW9" s="99"/>
      <c r="IX9" s="99"/>
      <c r="IY9" s="99"/>
      <c r="IZ9" s="99"/>
      <c r="JA9" s="99"/>
      <c r="JB9" s="99"/>
      <c r="JC9" s="99"/>
      <c r="JD9" s="99"/>
      <c r="JE9" s="99"/>
      <c r="JF9" s="99"/>
      <c r="JG9" s="99"/>
      <c r="JH9" s="99"/>
      <c r="JI9" s="99"/>
      <c r="JJ9" s="99"/>
      <c r="JK9" s="99"/>
      <c r="JL9" s="99"/>
      <c r="JM9" s="99"/>
      <c r="JN9" s="99"/>
      <c r="JO9" s="99"/>
      <c r="JP9" s="99"/>
      <c r="JQ9" s="99"/>
      <c r="JR9" s="99"/>
      <c r="JS9" s="99"/>
      <c r="JT9" s="99"/>
      <c r="JU9" s="99"/>
      <c r="JV9" s="99"/>
      <c r="JW9" s="99"/>
      <c r="JX9" s="99"/>
      <c r="JY9" s="99"/>
      <c r="JZ9" s="99"/>
      <c r="KA9" s="99"/>
      <c r="KB9" s="99"/>
      <c r="KC9" s="99"/>
      <c r="KD9" s="99"/>
      <c r="KE9" s="99"/>
      <c r="KF9" s="99"/>
      <c r="KG9" s="99"/>
      <c r="KH9" s="99"/>
      <c r="KI9" s="99"/>
      <c r="KJ9" s="99"/>
      <c r="KK9" s="99"/>
      <c r="KL9" s="99"/>
      <c r="KM9" s="99"/>
      <c r="KN9" s="99"/>
      <c r="KO9" s="99"/>
      <c r="KP9" s="99"/>
      <c r="KQ9" s="99"/>
      <c r="KR9" s="99"/>
      <c r="KS9" s="99"/>
      <c r="KT9" s="99"/>
      <c r="KU9" s="99"/>
      <c r="KV9" s="99"/>
      <c r="KW9" s="99"/>
      <c r="KX9" s="99"/>
      <c r="KY9" s="99"/>
      <c r="KZ9" s="99"/>
      <c r="LA9" s="99"/>
      <c r="LB9" s="99"/>
      <c r="LC9" s="99"/>
      <c r="LD9" s="99"/>
      <c r="LE9" s="99"/>
      <c r="LF9" s="99"/>
      <c r="LG9" s="99"/>
      <c r="LH9" s="99"/>
      <c r="LI9" s="99"/>
      <c r="LJ9" s="99"/>
      <c r="LK9" s="99"/>
      <c r="LL9" s="99"/>
      <c r="LM9" s="99"/>
      <c r="LN9" s="99"/>
      <c r="LO9" s="99"/>
      <c r="LP9" s="99"/>
      <c r="LQ9" s="99"/>
      <c r="LR9" s="99"/>
      <c r="LS9" s="99"/>
      <c r="LT9" s="99"/>
      <c r="LU9" s="99"/>
      <c r="LV9" s="99"/>
      <c r="LW9" s="99"/>
      <c r="LX9" s="99"/>
      <c r="LY9" s="99"/>
      <c r="LZ9" s="99"/>
      <c r="MA9" s="99"/>
      <c r="MB9" s="99"/>
      <c r="MC9" s="99"/>
      <c r="MD9" s="99"/>
      <c r="ME9" s="99"/>
      <c r="MF9" s="99"/>
      <c r="MG9" s="99"/>
      <c r="MH9" s="99"/>
      <c r="MI9" s="99"/>
      <c r="MJ9" s="99"/>
      <c r="MK9" s="99"/>
      <c r="ML9" s="99"/>
      <c r="MM9" s="99"/>
      <c r="MN9" s="99"/>
      <c r="MO9" s="99"/>
      <c r="MP9" s="99"/>
      <c r="MQ9" s="99"/>
      <c r="MR9" s="99"/>
      <c r="MS9" s="99"/>
      <c r="MT9" s="99"/>
      <c r="MU9" s="99"/>
      <c r="MV9" s="99"/>
      <c r="MW9" s="99"/>
      <c r="MX9" s="99"/>
      <c r="MY9" s="99"/>
      <c r="MZ9" s="99"/>
      <c r="NA9" s="99"/>
      <c r="NB9" s="99"/>
      <c r="NC9" s="99"/>
      <c r="ND9" s="99"/>
      <c r="NE9" s="99"/>
      <c r="NF9" s="99"/>
      <c r="NG9" s="99"/>
      <c r="NH9" s="99"/>
      <c r="NI9" s="99"/>
      <c r="NJ9" s="99"/>
      <c r="NK9" s="99"/>
      <c r="NL9" s="99"/>
      <c r="NM9" s="99"/>
      <c r="NN9" s="99"/>
      <c r="NO9" s="99"/>
      <c r="NP9" s="99"/>
      <c r="NQ9" s="99"/>
      <c r="NR9" s="99"/>
      <c r="NS9" s="99"/>
      <c r="NT9" s="99"/>
      <c r="NU9" s="99"/>
      <c r="NV9" s="99"/>
      <c r="NW9" s="99"/>
      <c r="NX9" s="99"/>
      <c r="NY9" s="99"/>
      <c r="NZ9" s="99"/>
      <c r="OA9" s="99"/>
      <c r="OB9" s="99"/>
      <c r="OC9" s="99"/>
      <c r="OD9" s="99"/>
      <c r="OE9" s="99"/>
      <c r="OF9" s="99"/>
      <c r="OG9" s="99"/>
      <c r="OH9" s="99"/>
      <c r="OI9" s="99"/>
      <c r="OJ9" s="99"/>
      <c r="OK9" s="99"/>
      <c r="OL9" s="99"/>
      <c r="OM9" s="99"/>
      <c r="ON9" s="99"/>
      <c r="OO9" s="99"/>
      <c r="OP9" s="99"/>
      <c r="OQ9" s="99"/>
      <c r="OR9" s="99"/>
      <c r="OS9" s="99"/>
      <c r="OT9" s="99"/>
      <c r="OU9" s="99"/>
      <c r="OV9" s="99"/>
      <c r="OW9" s="99"/>
      <c r="OX9" s="99"/>
      <c r="OY9" s="99"/>
      <c r="OZ9" s="99"/>
      <c r="PA9" s="99"/>
      <c r="PB9" s="99"/>
      <c r="PC9" s="99"/>
      <c r="PD9" s="99"/>
      <c r="PE9" s="99"/>
      <c r="PF9" s="99"/>
      <c r="PG9" s="99"/>
      <c r="PH9" s="99"/>
      <c r="PI9" s="99"/>
      <c r="PJ9" s="99"/>
      <c r="PK9" s="99"/>
      <c r="PL9" s="99"/>
      <c r="PM9" s="99"/>
      <c r="PN9" s="99"/>
      <c r="PO9" s="99"/>
      <c r="PP9" s="99"/>
      <c r="PQ9" s="99"/>
      <c r="PR9" s="99"/>
      <c r="PS9" s="99"/>
      <c r="PT9" s="99"/>
      <c r="PU9" s="99"/>
      <c r="PV9" s="99"/>
      <c r="PW9" s="99"/>
      <c r="PX9" s="99"/>
      <c r="PY9" s="99"/>
      <c r="PZ9" s="99"/>
      <c r="QA9" s="99"/>
      <c r="QB9" s="99"/>
      <c r="QC9" s="99"/>
      <c r="QD9" s="99"/>
      <c r="QE9" s="99"/>
      <c r="QF9" s="99"/>
      <c r="QG9" s="99"/>
      <c r="QH9" s="99"/>
      <c r="QI9" s="99"/>
      <c r="QJ9" s="99"/>
      <c r="QK9" s="99"/>
      <c r="QL9" s="99"/>
      <c r="QM9" s="99"/>
      <c r="QN9" s="99"/>
      <c r="QO9" s="99"/>
      <c r="QP9" s="99"/>
      <c r="QQ9" s="99"/>
      <c r="QR9" s="99"/>
      <c r="QS9" s="99"/>
      <c r="QT9" s="99"/>
      <c r="QU9" s="99"/>
      <c r="QV9" s="99"/>
      <c r="QW9" s="99"/>
      <c r="QX9" s="99"/>
      <c r="QY9" s="99"/>
      <c r="QZ9" s="99"/>
      <c r="RA9" s="99"/>
      <c r="RB9" s="99"/>
      <c r="RC9" s="99"/>
      <c r="RD9" s="99"/>
      <c r="RE9" s="99"/>
      <c r="RF9" s="99"/>
      <c r="RG9" s="99"/>
      <c r="RH9" s="99"/>
      <c r="RI9" s="99"/>
      <c r="RJ9" s="99"/>
      <c r="RK9" s="99"/>
      <c r="RL9" s="99"/>
      <c r="RM9" s="99"/>
      <c r="RN9" s="99"/>
    </row>
    <row r="10" spans="1:482" s="59" customFormat="1" ht="11.25" customHeight="1" x14ac:dyDescent="0.2">
      <c r="A10" s="178" t="s">
        <v>853</v>
      </c>
      <c r="B10" s="178"/>
      <c r="C10" s="178"/>
      <c r="D10" s="142">
        <f t="shared" ref="D10:AI10" si="0">+D11+D25+D35+D40+D42+D45</f>
        <v>1137242542</v>
      </c>
      <c r="E10" s="142">
        <f t="shared" si="0"/>
        <v>89909.900000000009</v>
      </c>
      <c r="F10" s="142">
        <f t="shared" si="0"/>
        <v>9473.2999999999993</v>
      </c>
      <c r="G10" s="142">
        <f t="shared" si="0"/>
        <v>62682.299999999996</v>
      </c>
      <c r="H10" s="142">
        <f t="shared" si="0"/>
        <v>5921662.1999999993</v>
      </c>
      <c r="I10" s="142">
        <f t="shared" si="0"/>
        <v>132792.10000000003</v>
      </c>
      <c r="J10" s="142">
        <f t="shared" si="0"/>
        <v>58352615.500000007</v>
      </c>
      <c r="K10" s="142">
        <f t="shared" si="0"/>
        <v>496766.20000000007</v>
      </c>
      <c r="L10" s="142">
        <f t="shared" si="0"/>
        <v>503864.9</v>
      </c>
      <c r="M10" s="142">
        <f t="shared" si="0"/>
        <v>126131.09999999999</v>
      </c>
      <c r="N10" s="142">
        <f t="shared" si="0"/>
        <v>0</v>
      </c>
      <c r="O10" s="142">
        <f t="shared" si="0"/>
        <v>42276.2</v>
      </c>
      <c r="P10" s="142">
        <f t="shared" si="0"/>
        <v>956258.4</v>
      </c>
      <c r="Q10" s="142">
        <f t="shared" si="0"/>
        <v>167100</v>
      </c>
      <c r="R10" s="142">
        <f t="shared" si="0"/>
        <v>1447248.5</v>
      </c>
      <c r="S10" s="142">
        <f t="shared" si="0"/>
        <v>42335.200000000004</v>
      </c>
      <c r="T10" s="142">
        <f t="shared" si="0"/>
        <v>88610.3</v>
      </c>
      <c r="U10" s="142">
        <f t="shared" si="0"/>
        <v>0</v>
      </c>
      <c r="V10" s="142">
        <f t="shared" si="0"/>
        <v>82677.700000000012</v>
      </c>
      <c r="W10" s="142">
        <f t="shared" si="0"/>
        <v>600</v>
      </c>
      <c r="X10" s="142">
        <f t="shared" si="0"/>
        <v>1914176.0000000002</v>
      </c>
      <c r="Y10" s="142">
        <f t="shared" si="0"/>
        <v>515030.50000000006</v>
      </c>
      <c r="Z10" s="142">
        <f t="shared" si="0"/>
        <v>151918.90000000002</v>
      </c>
      <c r="AA10" s="142">
        <f t="shared" si="0"/>
        <v>516.20000000000005</v>
      </c>
      <c r="AB10" s="142">
        <f t="shared" si="0"/>
        <v>212834.4</v>
      </c>
      <c r="AC10" s="142">
        <f t="shared" si="0"/>
        <v>4582727.3000000007</v>
      </c>
      <c r="AD10" s="142">
        <f t="shared" si="0"/>
        <v>7616385.0999999996</v>
      </c>
      <c r="AE10" s="142">
        <f t="shared" si="0"/>
        <v>603190440.70000005</v>
      </c>
      <c r="AF10" s="142">
        <f t="shared" si="0"/>
        <v>40243929.900000006</v>
      </c>
      <c r="AG10" s="142">
        <f t="shared" si="0"/>
        <v>155814.6</v>
      </c>
      <c r="AH10" s="142">
        <f t="shared" si="0"/>
        <v>2554851.7000000002</v>
      </c>
      <c r="AI10" s="142">
        <f t="shared" si="0"/>
        <v>416671.69999999995</v>
      </c>
      <c r="AJ10" s="142">
        <f t="shared" ref="AJ10:BJ10" si="1">+AJ11+AJ25+AJ35+AJ40+AJ42+AJ45</f>
        <v>44538321.199999996</v>
      </c>
      <c r="AK10" s="142">
        <f t="shared" si="1"/>
        <v>89711545.590000004</v>
      </c>
      <c r="AL10" s="142">
        <f t="shared" si="1"/>
        <v>16738.5</v>
      </c>
      <c r="AM10" s="142">
        <f t="shared" si="1"/>
        <v>690615.1</v>
      </c>
      <c r="AN10" s="142">
        <f t="shared" si="1"/>
        <v>30398</v>
      </c>
      <c r="AO10" s="142">
        <f t="shared" si="1"/>
        <v>783837.59999999986</v>
      </c>
      <c r="AP10" s="142">
        <f t="shared" si="1"/>
        <v>9471530.2000000011</v>
      </c>
      <c r="AQ10" s="142">
        <f t="shared" si="1"/>
        <v>9803932.6999999993</v>
      </c>
      <c r="AR10" s="142">
        <f t="shared" si="1"/>
        <v>252593.2</v>
      </c>
      <c r="AS10" s="142">
        <f t="shared" si="1"/>
        <v>154399</v>
      </c>
      <c r="AT10" s="142">
        <f t="shared" si="1"/>
        <v>34732062</v>
      </c>
      <c r="AU10" s="142">
        <f t="shared" si="1"/>
        <v>310564.80999999994</v>
      </c>
      <c r="AV10" s="142">
        <f t="shared" si="1"/>
        <v>12386975.1</v>
      </c>
      <c r="AW10" s="142">
        <f t="shared" si="1"/>
        <v>3924029.5</v>
      </c>
      <c r="AX10" s="142">
        <f t="shared" si="1"/>
        <v>62518.400000000001</v>
      </c>
      <c r="AY10" s="142">
        <f t="shared" si="1"/>
        <v>283340.5</v>
      </c>
      <c r="AZ10" s="142">
        <f t="shared" si="1"/>
        <v>42937.8</v>
      </c>
      <c r="BA10" s="142">
        <f t="shared" si="1"/>
        <v>21022589.600000001</v>
      </c>
      <c r="BB10" s="142">
        <f t="shared" si="1"/>
        <v>4129023.4999999995</v>
      </c>
      <c r="BC10" s="142">
        <f t="shared" si="1"/>
        <v>4319876.5999999996</v>
      </c>
      <c r="BD10" s="142">
        <f t="shared" si="1"/>
        <v>1370198.3000000003</v>
      </c>
      <c r="BE10" s="142">
        <f t="shared" si="1"/>
        <v>2528543.2000000002</v>
      </c>
      <c r="BF10" s="142">
        <f t="shared" si="1"/>
        <v>7770.4000000000005</v>
      </c>
      <c r="BG10" s="142">
        <f t="shared" si="1"/>
        <v>179481</v>
      </c>
      <c r="BH10" s="142">
        <f t="shared" si="1"/>
        <v>68687.100000000006</v>
      </c>
      <c r="BI10" s="142">
        <f t="shared" si="1"/>
        <v>14098</v>
      </c>
      <c r="BJ10" s="142">
        <f t="shared" si="1"/>
        <v>100006</v>
      </c>
      <c r="BK10" s="142" t="s">
        <v>854</v>
      </c>
      <c r="BL10" s="97">
        <f t="shared" ref="BL10:CL10" si="2">+BL11+BL25+BL35+BL40+BL42+BL45</f>
        <v>60</v>
      </c>
      <c r="BM10" s="97">
        <f t="shared" si="2"/>
        <v>42025.2</v>
      </c>
      <c r="BN10" s="97">
        <f t="shared" si="2"/>
        <v>42613</v>
      </c>
      <c r="BO10" s="97">
        <f t="shared" si="2"/>
        <v>23770.799999999999</v>
      </c>
      <c r="BP10" s="97">
        <f t="shared" si="2"/>
        <v>59411.000000000015</v>
      </c>
      <c r="BQ10" s="97">
        <f t="shared" si="2"/>
        <v>115458.5</v>
      </c>
      <c r="BR10" s="97">
        <f t="shared" si="2"/>
        <v>705586.6</v>
      </c>
      <c r="BS10" s="97">
        <f t="shared" si="2"/>
        <v>18126.900000000001</v>
      </c>
      <c r="BT10" s="97">
        <f t="shared" si="2"/>
        <v>2272.5</v>
      </c>
      <c r="BU10" s="97">
        <f t="shared" si="2"/>
        <v>3895.9</v>
      </c>
      <c r="BV10" s="97">
        <f t="shared" si="2"/>
        <v>124287.5</v>
      </c>
      <c r="BW10" s="97">
        <f t="shared" si="2"/>
        <v>13629.800000000001</v>
      </c>
      <c r="BX10" s="97">
        <f t="shared" si="2"/>
        <v>43307.199999999997</v>
      </c>
      <c r="BY10" s="97">
        <f t="shared" si="2"/>
        <v>171665.69999999998</v>
      </c>
      <c r="BZ10" s="97">
        <f t="shared" si="2"/>
        <v>211132</v>
      </c>
      <c r="CA10" s="97">
        <f t="shared" si="2"/>
        <v>14431.9</v>
      </c>
      <c r="CB10" s="97">
        <f t="shared" si="2"/>
        <v>100</v>
      </c>
      <c r="CC10" s="97">
        <f t="shared" si="2"/>
        <v>1078264</v>
      </c>
      <c r="CD10" s="97">
        <f t="shared" si="2"/>
        <v>308129.90000000002</v>
      </c>
      <c r="CE10" s="97">
        <f t="shared" si="2"/>
        <v>63320.500000000007</v>
      </c>
      <c r="CF10" s="97">
        <f t="shared" si="2"/>
        <v>14743.3</v>
      </c>
      <c r="CG10" s="97">
        <f t="shared" si="2"/>
        <v>30504.7</v>
      </c>
      <c r="CH10" s="97">
        <f t="shared" si="2"/>
        <v>103100.80000000002</v>
      </c>
      <c r="CI10" s="97">
        <f t="shared" si="2"/>
        <v>10326.199999999999</v>
      </c>
      <c r="CJ10" s="97">
        <f t="shared" si="2"/>
        <v>76733.099999999991</v>
      </c>
      <c r="CK10" s="97">
        <f t="shared" si="2"/>
        <v>12841.5</v>
      </c>
      <c r="CL10" s="97">
        <f t="shared" si="2"/>
        <v>19065.400000000001</v>
      </c>
      <c r="CM10" s="97">
        <f t="shared" ref="CM10:DR10" si="3">+CM11+CM25+CM35+CM40+CM42+CM45</f>
        <v>3548495.1</v>
      </c>
      <c r="CN10" s="97">
        <f t="shared" si="3"/>
        <v>36682.800000000003</v>
      </c>
      <c r="CO10" s="97">
        <f t="shared" si="3"/>
        <v>43278.700000000004</v>
      </c>
      <c r="CP10" s="97">
        <f t="shared" si="3"/>
        <v>115931.2</v>
      </c>
      <c r="CQ10" s="97">
        <f t="shared" si="3"/>
        <v>23370.399999999998</v>
      </c>
      <c r="CR10" s="97">
        <f t="shared" si="3"/>
        <v>7511</v>
      </c>
      <c r="CS10" s="97">
        <f t="shared" si="3"/>
        <v>6782961.9000000004</v>
      </c>
      <c r="CT10" s="97">
        <f t="shared" si="3"/>
        <v>52896.2</v>
      </c>
      <c r="CU10" s="97">
        <f t="shared" si="3"/>
        <v>20445.7</v>
      </c>
      <c r="CV10" s="97">
        <f t="shared" si="3"/>
        <v>1007099.7000000001</v>
      </c>
      <c r="CW10" s="97">
        <f t="shared" si="3"/>
        <v>511801.99999999994</v>
      </c>
      <c r="CX10" s="97">
        <f t="shared" si="3"/>
        <v>33312.5</v>
      </c>
      <c r="CY10" s="97">
        <f t="shared" si="3"/>
        <v>4061.7999999999997</v>
      </c>
      <c r="CZ10" s="97">
        <f t="shared" si="3"/>
        <v>29934.9</v>
      </c>
      <c r="DA10" s="97">
        <f t="shared" si="3"/>
        <v>620074.4</v>
      </c>
      <c r="DB10" s="97">
        <f t="shared" si="3"/>
        <v>265176.2</v>
      </c>
      <c r="DC10" s="97">
        <f t="shared" si="3"/>
        <v>33807.4</v>
      </c>
      <c r="DD10" s="97">
        <f t="shared" si="3"/>
        <v>5240</v>
      </c>
      <c r="DE10" s="97">
        <f t="shared" si="3"/>
        <v>23460.5</v>
      </c>
      <c r="DF10" s="97">
        <f t="shared" si="3"/>
        <v>45452.5</v>
      </c>
      <c r="DG10" s="97">
        <f t="shared" si="3"/>
        <v>259405.60000000003</v>
      </c>
      <c r="DH10" s="97">
        <f t="shared" si="3"/>
        <v>13193.599999999999</v>
      </c>
      <c r="DI10" s="97">
        <f t="shared" si="3"/>
        <v>424418.4</v>
      </c>
      <c r="DJ10" s="97">
        <f t="shared" si="3"/>
        <v>11824.7</v>
      </c>
      <c r="DK10" s="97">
        <f t="shared" si="3"/>
        <v>36824.6</v>
      </c>
      <c r="DL10" s="97">
        <f t="shared" si="3"/>
        <v>1425699.3</v>
      </c>
      <c r="DM10" s="97">
        <f t="shared" si="3"/>
        <v>319344.8</v>
      </c>
      <c r="DN10" s="97">
        <f t="shared" si="3"/>
        <v>400758.4</v>
      </c>
      <c r="DO10" s="97">
        <f t="shared" si="3"/>
        <v>265271.2</v>
      </c>
      <c r="DP10" s="97">
        <f t="shared" si="3"/>
        <v>28109.9</v>
      </c>
      <c r="DQ10" s="97">
        <f t="shared" si="3"/>
        <v>51442</v>
      </c>
      <c r="DR10" s="97">
        <f t="shared" si="3"/>
        <v>460090.89999999997</v>
      </c>
      <c r="DS10" s="97">
        <f t="shared" ref="DS10:EV10" si="4">+DS11+DS25+DS35+DS40+DS42+DS45</f>
        <v>1416536</v>
      </c>
      <c r="DT10" s="97">
        <f t="shared" si="4"/>
        <v>40098.6</v>
      </c>
      <c r="DU10" s="97">
        <f t="shared" si="4"/>
        <v>49989</v>
      </c>
      <c r="DV10" s="97">
        <f t="shared" si="4"/>
        <v>690252.2</v>
      </c>
      <c r="DW10" s="97">
        <f t="shared" si="4"/>
        <v>106396.5</v>
      </c>
      <c r="DX10" s="97">
        <f t="shared" si="4"/>
        <v>32504.2</v>
      </c>
      <c r="DY10" s="97">
        <f t="shared" si="4"/>
        <v>36402.699999999997</v>
      </c>
      <c r="DZ10" s="97">
        <f t="shared" si="4"/>
        <v>19561.099999999999</v>
      </c>
      <c r="EA10" s="97">
        <f t="shared" si="4"/>
        <v>19561.099999999999</v>
      </c>
      <c r="EB10" s="97">
        <f t="shared" si="4"/>
        <v>1482553.5</v>
      </c>
      <c r="EC10" s="97">
        <f t="shared" si="4"/>
        <v>96825</v>
      </c>
      <c r="ED10" s="97">
        <f t="shared" si="4"/>
        <v>61906.600000000006</v>
      </c>
      <c r="EE10" s="97">
        <f t="shared" si="4"/>
        <v>110385</v>
      </c>
      <c r="EF10" s="97">
        <f t="shared" si="4"/>
        <v>191738.2</v>
      </c>
      <c r="EG10" s="97">
        <f t="shared" si="4"/>
        <v>300901.3</v>
      </c>
      <c r="EH10" s="97">
        <f t="shared" si="4"/>
        <v>82897</v>
      </c>
      <c r="EI10" s="97">
        <f t="shared" si="4"/>
        <v>2997269.5999999996</v>
      </c>
      <c r="EJ10" s="97">
        <f t="shared" si="4"/>
        <v>4510</v>
      </c>
      <c r="EK10" s="97">
        <f>+EK11+EK25+EK35+EK40+EK42+EK45</f>
        <v>50764.7</v>
      </c>
      <c r="EL10" s="97">
        <f t="shared" si="4"/>
        <v>107512.9</v>
      </c>
      <c r="EM10" s="97">
        <f t="shared" si="4"/>
        <v>510.9</v>
      </c>
      <c r="EN10" s="97">
        <f t="shared" si="4"/>
        <v>27843.599999999999</v>
      </c>
      <c r="EO10" s="97">
        <f t="shared" si="4"/>
        <v>56978.80000000001</v>
      </c>
      <c r="EP10" s="97">
        <f t="shared" si="4"/>
        <v>1487.7</v>
      </c>
      <c r="EQ10" s="97">
        <f t="shared" si="4"/>
        <v>44864.9</v>
      </c>
      <c r="ER10" s="97">
        <f t="shared" si="4"/>
        <v>1306454.7</v>
      </c>
      <c r="ES10" s="97">
        <f t="shared" si="4"/>
        <v>37003.599999999999</v>
      </c>
      <c r="ET10" s="97">
        <f t="shared" si="4"/>
        <v>142778.6</v>
      </c>
      <c r="EU10" s="97">
        <f t="shared" si="4"/>
        <v>68864.3</v>
      </c>
      <c r="EV10" s="97">
        <f t="shared" si="4"/>
        <v>7517.4000000000005</v>
      </c>
      <c r="EW10" s="97">
        <f t="shared" ref="EW10:OV10" si="5">+EW11+EW25+EW35+EW40+EW42+EW45</f>
        <v>2985</v>
      </c>
      <c r="EX10" s="97">
        <f t="shared" si="5"/>
        <v>4828.2</v>
      </c>
      <c r="EY10" s="97">
        <f t="shared" si="5"/>
        <v>2868.5</v>
      </c>
      <c r="EZ10" s="97">
        <f>+EZ11+EZ25+EZ35+EZ40+EZ42+EZ45</f>
        <v>897.30000000000007</v>
      </c>
      <c r="FA10" s="97">
        <f>+FA11+FA25+FA35+FA40+FA42+FA45</f>
        <v>1818.6000000000001</v>
      </c>
      <c r="FB10" s="97">
        <f>+FB11+FB25+FB35+FB40+FB42+FB45</f>
        <v>825.09999999999991</v>
      </c>
      <c r="FC10" s="97">
        <f>+FC11+FC25+FC35+FC40+FC42+FC45</f>
        <v>799.3</v>
      </c>
      <c r="FD10" s="97">
        <f t="shared" si="5"/>
        <v>108328.5</v>
      </c>
      <c r="FE10" s="97">
        <f t="shared" si="5"/>
        <v>13349.2</v>
      </c>
      <c r="FF10" s="97">
        <f t="shared" ref="FF10:GR10" si="6">+FF11+FF25+FF35+FF40+FF42+FF45</f>
        <v>143118.20000000001</v>
      </c>
      <c r="FG10" s="97">
        <f t="shared" si="6"/>
        <v>102692.6</v>
      </c>
      <c r="FH10" s="97">
        <f t="shared" si="6"/>
        <v>150951.20000000001</v>
      </c>
      <c r="FI10" s="97">
        <f t="shared" si="6"/>
        <v>20515.699999999997</v>
      </c>
      <c r="FJ10" s="97">
        <f t="shared" si="6"/>
        <v>0</v>
      </c>
      <c r="FK10" s="97">
        <f t="shared" si="6"/>
        <v>3669.7</v>
      </c>
      <c r="FL10" s="97">
        <f t="shared" si="6"/>
        <v>1343.1</v>
      </c>
      <c r="FM10" s="97">
        <f t="shared" si="6"/>
        <v>175909</v>
      </c>
      <c r="FN10" s="97">
        <f t="shared" si="6"/>
        <v>18062.099999999999</v>
      </c>
      <c r="FO10" s="97">
        <f t="shared" si="6"/>
        <v>38322.199999999997</v>
      </c>
      <c r="FP10" s="97">
        <f t="shared" si="6"/>
        <v>192743.8</v>
      </c>
      <c r="FQ10" s="97">
        <f t="shared" si="6"/>
        <v>14228.9</v>
      </c>
      <c r="FR10" s="97">
        <f t="shared" si="6"/>
        <v>31181.1</v>
      </c>
      <c r="FS10" s="97">
        <f t="shared" si="6"/>
        <v>11878.300000000001</v>
      </c>
      <c r="FT10" s="97">
        <f t="shared" si="6"/>
        <v>133726.6</v>
      </c>
      <c r="FU10" s="97">
        <f t="shared" si="6"/>
        <v>3322.8</v>
      </c>
      <c r="FV10" s="97">
        <f t="shared" si="6"/>
        <v>237784.30000000002</v>
      </c>
      <c r="FW10" s="97">
        <f t="shared" si="6"/>
        <v>4934.5</v>
      </c>
      <c r="FX10" s="97">
        <f t="shared" si="6"/>
        <v>26368.6</v>
      </c>
      <c r="FY10" s="97">
        <f t="shared" si="6"/>
        <v>5125.3999999999996</v>
      </c>
      <c r="FZ10" s="97">
        <f t="shared" si="6"/>
        <v>39890.199999999997</v>
      </c>
      <c r="GA10" s="97">
        <f t="shared" si="6"/>
        <v>469.7</v>
      </c>
      <c r="GB10" s="97">
        <f t="shared" si="6"/>
        <v>320056.7</v>
      </c>
      <c r="GC10" s="97">
        <f t="shared" si="6"/>
        <v>10762.599999999999</v>
      </c>
      <c r="GD10" s="97">
        <f t="shared" si="6"/>
        <v>161379.1</v>
      </c>
      <c r="GE10" s="97">
        <f t="shared" si="6"/>
        <v>166724.79999999999</v>
      </c>
      <c r="GF10" s="97">
        <f t="shared" si="6"/>
        <v>19096.7</v>
      </c>
      <c r="GG10" s="97">
        <f t="shared" si="6"/>
        <v>14512.7</v>
      </c>
      <c r="GH10" s="97">
        <f t="shared" si="6"/>
        <v>396115.6</v>
      </c>
      <c r="GI10" s="97">
        <f t="shared" si="6"/>
        <v>2216844.9</v>
      </c>
      <c r="GJ10" s="97">
        <f t="shared" si="6"/>
        <v>46234.2</v>
      </c>
      <c r="GK10" s="97">
        <f t="shared" si="6"/>
        <v>15568.3</v>
      </c>
      <c r="GL10" s="97">
        <f t="shared" si="6"/>
        <v>7273.8</v>
      </c>
      <c r="GM10" s="97">
        <f t="shared" si="6"/>
        <v>10377.700000000001</v>
      </c>
      <c r="GN10" s="97">
        <f t="shared" si="6"/>
        <v>21899.4</v>
      </c>
      <c r="GO10" s="97">
        <f t="shared" si="6"/>
        <v>49840.899999999994</v>
      </c>
      <c r="GP10" s="97">
        <f t="shared" si="6"/>
        <v>9012.6</v>
      </c>
      <c r="GQ10" s="97">
        <f t="shared" si="6"/>
        <v>94163.5</v>
      </c>
      <c r="GR10" s="97">
        <f t="shared" si="6"/>
        <v>9279.2999999999993</v>
      </c>
      <c r="GS10" s="97">
        <f t="shared" si="5"/>
        <v>50</v>
      </c>
      <c r="GT10" s="97">
        <f t="shared" ref="GT10:HG10" si="7">+GT11+GT25+GT35+GT40+GT42+GT45</f>
        <v>3736.2</v>
      </c>
      <c r="GU10" s="97">
        <f t="shared" si="7"/>
        <v>53039.4</v>
      </c>
      <c r="GV10" s="97">
        <f t="shared" si="7"/>
        <v>10100</v>
      </c>
      <c r="GW10" s="97">
        <f t="shared" si="7"/>
        <v>2669.2</v>
      </c>
      <c r="GX10" s="97">
        <f t="shared" si="7"/>
        <v>1030.4000000000001</v>
      </c>
      <c r="GY10" s="97">
        <f t="shared" si="7"/>
        <v>10242.799999999999</v>
      </c>
      <c r="GZ10" s="97">
        <f t="shared" si="7"/>
        <v>2</v>
      </c>
      <c r="HA10" s="97">
        <f t="shared" si="7"/>
        <v>61511.999999999993</v>
      </c>
      <c r="HB10" s="97">
        <f t="shared" si="7"/>
        <v>50134.600000000006</v>
      </c>
      <c r="HC10" s="97">
        <f t="shared" si="7"/>
        <v>0</v>
      </c>
      <c r="HD10" s="97">
        <f t="shared" si="7"/>
        <v>104996.9</v>
      </c>
      <c r="HE10" s="97">
        <f t="shared" si="7"/>
        <v>130576</v>
      </c>
      <c r="HF10" s="97">
        <f t="shared" si="7"/>
        <v>20</v>
      </c>
      <c r="HG10" s="97">
        <f t="shared" si="7"/>
        <v>12551.2</v>
      </c>
      <c r="HH10" s="97">
        <f t="shared" si="5"/>
        <v>58915.900000000009</v>
      </c>
      <c r="HI10" s="97">
        <f t="shared" ref="HI10:IN10" si="8">+HI11+HI25+HI35+HI40+HI42+HI45</f>
        <v>123136.4</v>
      </c>
      <c r="HJ10" s="97">
        <f t="shared" si="8"/>
        <v>12350</v>
      </c>
      <c r="HK10" s="97">
        <f t="shared" si="8"/>
        <v>10</v>
      </c>
      <c r="HL10" s="97">
        <f t="shared" si="8"/>
        <v>600</v>
      </c>
      <c r="HM10" s="97">
        <f t="shared" si="8"/>
        <v>189795.8</v>
      </c>
      <c r="HN10" s="97">
        <f t="shared" si="8"/>
        <v>345832.5</v>
      </c>
      <c r="HO10" s="97">
        <f t="shared" si="8"/>
        <v>186938.2</v>
      </c>
      <c r="HP10" s="97">
        <f t="shared" si="8"/>
        <v>142938.30000000002</v>
      </c>
      <c r="HQ10" s="97">
        <f t="shared" si="8"/>
        <v>24330.1</v>
      </c>
      <c r="HR10" s="97">
        <f t="shared" si="8"/>
        <v>114765.9</v>
      </c>
      <c r="HS10" s="97">
        <f t="shared" si="8"/>
        <v>52883.299999999996</v>
      </c>
      <c r="HT10" s="97">
        <f t="shared" si="8"/>
        <v>93413.7</v>
      </c>
      <c r="HU10" s="97">
        <f t="shared" si="8"/>
        <v>2820.5</v>
      </c>
      <c r="HV10" s="97">
        <f t="shared" si="8"/>
        <v>27851.599999999999</v>
      </c>
      <c r="HW10" s="97">
        <f t="shared" si="8"/>
        <v>37073.9</v>
      </c>
      <c r="HX10" s="97">
        <f t="shared" si="8"/>
        <v>11858.8</v>
      </c>
      <c r="HY10" s="97">
        <f t="shared" si="8"/>
        <v>49246.5</v>
      </c>
      <c r="HZ10" s="97">
        <f t="shared" si="8"/>
        <v>82562</v>
      </c>
      <c r="IA10" s="97">
        <f t="shared" si="8"/>
        <v>87675.5</v>
      </c>
      <c r="IB10" s="97">
        <f t="shared" si="8"/>
        <v>16218.4</v>
      </c>
      <c r="IC10" s="97">
        <f t="shared" si="8"/>
        <v>67580</v>
      </c>
      <c r="ID10" s="97">
        <f t="shared" si="8"/>
        <v>574261.60000000009</v>
      </c>
      <c r="IE10" s="97">
        <f t="shared" si="8"/>
        <v>500</v>
      </c>
      <c r="IF10" s="97">
        <f t="shared" si="8"/>
        <v>6593.6</v>
      </c>
      <c r="IG10" s="97">
        <f t="shared" si="8"/>
        <v>104674.7</v>
      </c>
      <c r="IH10" s="97">
        <f t="shared" si="8"/>
        <v>75139.400000000009</v>
      </c>
      <c r="II10" s="97">
        <f t="shared" si="8"/>
        <v>83338.100000000006</v>
      </c>
      <c r="IJ10" s="97">
        <f t="shared" si="8"/>
        <v>139172.4</v>
      </c>
      <c r="IK10" s="97">
        <f t="shared" si="8"/>
        <v>261825.60000000003</v>
      </c>
      <c r="IL10" s="97">
        <f t="shared" si="8"/>
        <v>22814.700000000004</v>
      </c>
      <c r="IM10" s="97">
        <f t="shared" si="8"/>
        <v>188516.5</v>
      </c>
      <c r="IN10" s="97">
        <f t="shared" si="8"/>
        <v>2456.9</v>
      </c>
      <c r="IO10" s="97">
        <f t="shared" ref="IO10:JT10" si="9">+IO11+IO25+IO35+IO40+IO42+IO45</f>
        <v>22199.4</v>
      </c>
      <c r="IP10" s="97">
        <f t="shared" si="9"/>
        <v>20</v>
      </c>
      <c r="IQ10" s="97">
        <f t="shared" si="9"/>
        <v>3342.8</v>
      </c>
      <c r="IR10" s="97">
        <f t="shared" si="9"/>
        <v>35656604.699999996</v>
      </c>
      <c r="IS10" s="97">
        <f t="shared" si="9"/>
        <v>3228.9</v>
      </c>
      <c r="IT10" s="97">
        <f t="shared" si="9"/>
        <v>159695</v>
      </c>
      <c r="IU10" s="97">
        <f t="shared" si="9"/>
        <v>1522637</v>
      </c>
      <c r="IV10" s="97">
        <f t="shared" si="9"/>
        <v>1309292.5999999999</v>
      </c>
      <c r="IW10" s="97">
        <f t="shared" si="9"/>
        <v>0.2</v>
      </c>
      <c r="IX10" s="97">
        <f t="shared" si="9"/>
        <v>131220.59999999998</v>
      </c>
      <c r="IY10" s="97">
        <f t="shared" si="9"/>
        <v>595623.30000000005</v>
      </c>
      <c r="IZ10" s="97">
        <f t="shared" si="9"/>
        <v>146.80000000000001</v>
      </c>
      <c r="JA10" s="97">
        <f t="shared" si="9"/>
        <v>3897.7</v>
      </c>
      <c r="JB10" s="97">
        <f t="shared" si="9"/>
        <v>79391.599999999991</v>
      </c>
      <c r="JC10" s="97">
        <f t="shared" si="9"/>
        <v>64164.000000000007</v>
      </c>
      <c r="JD10" s="97">
        <f t="shared" si="9"/>
        <v>67275.900000000009</v>
      </c>
      <c r="JE10" s="97">
        <f t="shared" si="9"/>
        <v>55778.400000000001</v>
      </c>
      <c r="JF10" s="97">
        <f t="shared" si="9"/>
        <v>93753</v>
      </c>
      <c r="JG10" s="97">
        <f t="shared" si="9"/>
        <v>307359.59999999998</v>
      </c>
      <c r="JH10" s="97">
        <f t="shared" si="9"/>
        <v>20489.600000000002</v>
      </c>
      <c r="JI10" s="97">
        <f t="shared" si="9"/>
        <v>45446.400000000001</v>
      </c>
      <c r="JJ10" s="97">
        <f t="shared" si="9"/>
        <v>11023.4</v>
      </c>
      <c r="JK10" s="97">
        <f t="shared" si="9"/>
        <v>60324.100000000006</v>
      </c>
      <c r="JL10" s="97">
        <f t="shared" si="9"/>
        <v>26289.3</v>
      </c>
      <c r="JM10" s="97">
        <f t="shared" si="9"/>
        <v>73233.5</v>
      </c>
      <c r="JN10" s="97">
        <f t="shared" si="9"/>
        <v>5688.5</v>
      </c>
      <c r="JO10" s="97">
        <f t="shared" si="9"/>
        <v>3339.1</v>
      </c>
      <c r="JP10" s="97">
        <f t="shared" si="9"/>
        <v>9454.1</v>
      </c>
      <c r="JQ10" s="97">
        <f t="shared" si="9"/>
        <v>12347.9</v>
      </c>
      <c r="JR10" s="97">
        <f t="shared" si="9"/>
        <v>19023.599999999999</v>
      </c>
      <c r="JS10" s="97">
        <f t="shared" si="9"/>
        <v>13508.7</v>
      </c>
      <c r="JT10" s="97">
        <f t="shared" si="9"/>
        <v>242824.3</v>
      </c>
      <c r="JU10" s="97">
        <f t="shared" ref="JU10:KZ10" si="10">+JU11+JU25+JU35+JU40+JU42+JU45</f>
        <v>60270.899999999994</v>
      </c>
      <c r="JV10" s="97">
        <f t="shared" si="10"/>
        <v>38363.4</v>
      </c>
      <c r="JW10" s="97">
        <f t="shared" si="10"/>
        <v>14181.3</v>
      </c>
      <c r="JX10" s="97">
        <f t="shared" si="10"/>
        <v>17321.7</v>
      </c>
      <c r="JY10" s="97">
        <f t="shared" si="10"/>
        <v>1685.1</v>
      </c>
      <c r="JZ10" s="97">
        <f t="shared" si="10"/>
        <v>1301828.7000000002</v>
      </c>
      <c r="KA10" s="97">
        <f t="shared" si="10"/>
        <v>36813.800000000003</v>
      </c>
      <c r="KB10" s="97">
        <f t="shared" si="10"/>
        <v>13346.8</v>
      </c>
      <c r="KC10" s="97">
        <f t="shared" si="10"/>
        <v>41083.399999999994</v>
      </c>
      <c r="KD10" s="97">
        <f t="shared" si="10"/>
        <v>30176.5</v>
      </c>
      <c r="KE10" s="97">
        <f t="shared" si="10"/>
        <v>5694</v>
      </c>
      <c r="KF10" s="97">
        <f t="shared" si="10"/>
        <v>14624.3</v>
      </c>
      <c r="KG10" s="97">
        <f t="shared" si="10"/>
        <v>50</v>
      </c>
      <c r="KH10" s="97">
        <f t="shared" si="10"/>
        <v>10659.9</v>
      </c>
      <c r="KI10" s="97">
        <f t="shared" si="10"/>
        <v>9315.9</v>
      </c>
      <c r="KJ10" s="97">
        <f t="shared" si="10"/>
        <v>30417219.099999994</v>
      </c>
      <c r="KK10" s="97">
        <f t="shared" si="10"/>
        <v>748</v>
      </c>
      <c r="KL10" s="97">
        <f t="shared" si="10"/>
        <v>10081</v>
      </c>
      <c r="KM10" s="97">
        <f t="shared" si="10"/>
        <v>1024</v>
      </c>
      <c r="KN10" s="97">
        <f t="shared" si="10"/>
        <v>66491.199999999997</v>
      </c>
      <c r="KO10" s="97">
        <f t="shared" si="10"/>
        <v>35460.799999999996</v>
      </c>
      <c r="KP10" s="97">
        <f t="shared" si="10"/>
        <v>47891.3</v>
      </c>
      <c r="KQ10" s="97">
        <f t="shared" si="10"/>
        <v>32217.200000000004</v>
      </c>
      <c r="KR10" s="97">
        <f t="shared" si="10"/>
        <v>1686298.8</v>
      </c>
      <c r="KS10" s="97">
        <f t="shared" si="10"/>
        <v>182818.59999999998</v>
      </c>
      <c r="KT10" s="97">
        <f t="shared" si="10"/>
        <v>23499.1</v>
      </c>
      <c r="KU10" s="97">
        <f t="shared" si="10"/>
        <v>892283.5</v>
      </c>
      <c r="KV10" s="97">
        <f t="shared" si="10"/>
        <v>55126.6</v>
      </c>
      <c r="KW10" s="97">
        <f t="shared" si="10"/>
        <v>881.4</v>
      </c>
      <c r="KX10" s="97">
        <f t="shared" si="10"/>
        <v>2146866.5</v>
      </c>
      <c r="KY10" s="97">
        <f t="shared" si="10"/>
        <v>199259.7</v>
      </c>
      <c r="KZ10" s="97">
        <f t="shared" si="10"/>
        <v>40037.299999999996</v>
      </c>
      <c r="LA10" s="97">
        <f t="shared" ref="LA10:OT10" si="11">+LA11+LA25+LA35+LA40+LA42+LA45</f>
        <v>26341.600000000002</v>
      </c>
      <c r="LB10" s="97">
        <f t="shared" si="11"/>
        <v>9266.7999999999993</v>
      </c>
      <c r="LC10" s="97">
        <f t="shared" ref="LC10:LJ10" si="12">+LC11+LC25+LC35+LC40+LC42+LC45</f>
        <v>67210.2</v>
      </c>
      <c r="LD10" s="97">
        <f t="shared" si="12"/>
        <v>27468.9</v>
      </c>
      <c r="LE10" s="97">
        <f t="shared" si="12"/>
        <v>23181.1</v>
      </c>
      <c r="LF10" s="97">
        <f t="shared" si="12"/>
        <v>14422.7</v>
      </c>
      <c r="LG10" s="97">
        <f t="shared" si="12"/>
        <v>1762.4</v>
      </c>
      <c r="LH10" s="97">
        <f t="shared" si="12"/>
        <v>190778.5</v>
      </c>
      <c r="LI10" s="97">
        <f t="shared" si="12"/>
        <v>45182.5</v>
      </c>
      <c r="LJ10" s="97">
        <f t="shared" si="12"/>
        <v>8124.9</v>
      </c>
      <c r="LK10" s="97">
        <f t="shared" ref="LK10:LQ10" si="13">+LK11+LK25+LK35+LK40+LK42+LK45</f>
        <v>26974.9</v>
      </c>
      <c r="LL10" s="97">
        <f t="shared" si="13"/>
        <v>79083.600000000006</v>
      </c>
      <c r="LM10" s="97">
        <f>+LM11+LM25+LM35+LM40+LM42+LM45</f>
        <v>44156.800000000003</v>
      </c>
      <c r="LN10" s="97">
        <f>+LN11+LN25+LN35+LN40+LN42+LN45</f>
        <v>6222.7</v>
      </c>
      <c r="LO10" s="97">
        <f t="shared" si="13"/>
        <v>16011.9</v>
      </c>
      <c r="LP10" s="97">
        <f t="shared" si="13"/>
        <v>41707.899999999994</v>
      </c>
      <c r="LQ10" s="97">
        <f t="shared" si="13"/>
        <v>151663.69999999998</v>
      </c>
      <c r="LR10" s="97">
        <f t="shared" ref="LR10:MW10" si="14">+LR11+LR25+LR35+LR40+LR42+LR45</f>
        <v>7922.3</v>
      </c>
      <c r="LS10" s="97">
        <f t="shared" si="14"/>
        <v>14145.5</v>
      </c>
      <c r="LT10" s="97">
        <f t="shared" si="14"/>
        <v>516951.3</v>
      </c>
      <c r="LU10" s="97">
        <f t="shared" si="14"/>
        <v>1087</v>
      </c>
      <c r="LV10" s="97">
        <f t="shared" si="14"/>
        <v>1321396.2</v>
      </c>
      <c r="LW10" s="97">
        <f t="shared" si="14"/>
        <v>59944.399999999994</v>
      </c>
      <c r="LX10" s="97">
        <f t="shared" si="14"/>
        <v>23705.599999999999</v>
      </c>
      <c r="LY10" s="97">
        <f t="shared" si="14"/>
        <v>2599.5</v>
      </c>
      <c r="LZ10" s="97">
        <f t="shared" si="14"/>
        <v>2700.9</v>
      </c>
      <c r="MA10" s="97">
        <f t="shared" si="14"/>
        <v>13733.5</v>
      </c>
      <c r="MB10" s="97">
        <f t="shared" si="14"/>
        <v>9376.4</v>
      </c>
      <c r="MC10" s="97">
        <f t="shared" si="14"/>
        <v>2136.9</v>
      </c>
      <c r="MD10" s="97">
        <f t="shared" si="14"/>
        <v>40143.300000000003</v>
      </c>
      <c r="ME10" s="97">
        <f t="shared" si="14"/>
        <v>12914.9</v>
      </c>
      <c r="MF10" s="97">
        <f t="shared" si="14"/>
        <v>187363.7</v>
      </c>
      <c r="MG10" s="97">
        <f t="shared" si="14"/>
        <v>719.2</v>
      </c>
      <c r="MH10" s="97">
        <f t="shared" si="14"/>
        <v>107843.7</v>
      </c>
      <c r="MI10" s="97">
        <f t="shared" si="14"/>
        <v>6158.2999999999993</v>
      </c>
      <c r="MJ10" s="97">
        <f t="shared" si="14"/>
        <v>43358.8</v>
      </c>
      <c r="MK10" s="97">
        <f t="shared" si="14"/>
        <v>21662.300000000003</v>
      </c>
      <c r="ML10" s="97">
        <f t="shared" si="14"/>
        <v>211839.6</v>
      </c>
      <c r="MM10" s="97">
        <f t="shared" si="14"/>
        <v>39301.000000000007</v>
      </c>
      <c r="MN10" s="97">
        <f t="shared" si="14"/>
        <v>22646.699999999997</v>
      </c>
      <c r="MO10" s="97">
        <f t="shared" si="14"/>
        <v>2435.6999999999998</v>
      </c>
      <c r="MP10" s="97">
        <f t="shared" si="14"/>
        <v>1437</v>
      </c>
      <c r="MQ10" s="97">
        <f t="shared" si="14"/>
        <v>142857.4</v>
      </c>
      <c r="MR10" s="97">
        <f t="shared" si="14"/>
        <v>573</v>
      </c>
      <c r="MS10" s="97">
        <f t="shared" si="14"/>
        <v>116105.29999999999</v>
      </c>
      <c r="MT10" s="97">
        <f t="shared" si="14"/>
        <v>2479.7999999999997</v>
      </c>
      <c r="MU10" s="97">
        <f t="shared" si="14"/>
        <v>11801</v>
      </c>
      <c r="MV10" s="97">
        <f t="shared" si="14"/>
        <v>1371</v>
      </c>
      <c r="MW10" s="97">
        <f t="shared" si="14"/>
        <v>23130.3</v>
      </c>
      <c r="MX10" s="97">
        <f t="shared" ref="MX10:OC10" si="15">+MX11+MX25+MX35+MX40+MX42+MX45</f>
        <v>3989.6</v>
      </c>
      <c r="MY10" s="97">
        <f t="shared" si="15"/>
        <v>9576.9000000000015</v>
      </c>
      <c r="MZ10" s="97">
        <f t="shared" si="15"/>
        <v>7500</v>
      </c>
      <c r="NA10" s="97">
        <f t="shared" si="15"/>
        <v>100343.70000000001</v>
      </c>
      <c r="NB10" s="97">
        <f t="shared" si="15"/>
        <v>35187.9</v>
      </c>
      <c r="NC10" s="97">
        <f t="shared" si="15"/>
        <v>8427.2999999999993</v>
      </c>
      <c r="ND10" s="97">
        <f t="shared" si="15"/>
        <v>1997.7</v>
      </c>
      <c r="NE10" s="97">
        <f t="shared" si="15"/>
        <v>18151.3</v>
      </c>
      <c r="NF10" s="97">
        <f t="shared" si="15"/>
        <v>57809.3</v>
      </c>
      <c r="NG10" s="97">
        <f t="shared" si="15"/>
        <v>138865.79999999999</v>
      </c>
      <c r="NH10" s="97">
        <f t="shared" si="15"/>
        <v>43137.9</v>
      </c>
      <c r="NI10" s="97">
        <f t="shared" si="15"/>
        <v>19185.800000000003</v>
      </c>
      <c r="NJ10" s="97">
        <f t="shared" si="15"/>
        <v>750</v>
      </c>
      <c r="NK10" s="97">
        <f t="shared" si="15"/>
        <v>18076.399999999998</v>
      </c>
      <c r="NL10" s="97">
        <f t="shared" si="15"/>
        <v>167843.40000000002</v>
      </c>
      <c r="NM10" s="97">
        <f t="shared" si="15"/>
        <v>484194.50000000006</v>
      </c>
      <c r="NN10" s="97">
        <f t="shared" si="15"/>
        <v>347410.10000000003</v>
      </c>
      <c r="NO10" s="97">
        <f t="shared" si="15"/>
        <v>0</v>
      </c>
      <c r="NP10" s="97">
        <f t="shared" si="15"/>
        <v>3065.8</v>
      </c>
      <c r="NQ10" s="97">
        <f t="shared" si="15"/>
        <v>668.7</v>
      </c>
      <c r="NR10" s="97">
        <f t="shared" si="15"/>
        <v>13305.4</v>
      </c>
      <c r="NS10" s="97">
        <f t="shared" si="15"/>
        <v>55820.9</v>
      </c>
      <c r="NT10" s="97">
        <f t="shared" si="15"/>
        <v>17841.599999999999</v>
      </c>
      <c r="NU10" s="97">
        <f t="shared" si="15"/>
        <v>3837.2</v>
      </c>
      <c r="NV10" s="97">
        <f t="shared" si="15"/>
        <v>58267.600000000006</v>
      </c>
      <c r="NW10" s="97">
        <f t="shared" si="15"/>
        <v>149.6</v>
      </c>
      <c r="NX10" s="97">
        <f t="shared" si="15"/>
        <v>24382.800000000003</v>
      </c>
      <c r="NY10" s="97">
        <f t="shared" si="15"/>
        <v>9477.5999999999985</v>
      </c>
      <c r="NZ10" s="97">
        <f t="shared" si="15"/>
        <v>6391.5</v>
      </c>
      <c r="OA10" s="97">
        <f t="shared" si="15"/>
        <v>5457.2</v>
      </c>
      <c r="OB10" s="97">
        <f t="shared" si="15"/>
        <v>17358.900000000001</v>
      </c>
      <c r="OC10" s="97">
        <f t="shared" si="15"/>
        <v>271851.2</v>
      </c>
      <c r="OD10" s="97">
        <f t="shared" ref="OD10:OG10" si="16">+OD11+OD25+OD35+OD40+OD42+OD45</f>
        <v>2073.9</v>
      </c>
      <c r="OE10" s="97">
        <f t="shared" si="16"/>
        <v>0</v>
      </c>
      <c r="OF10" s="97">
        <f t="shared" si="16"/>
        <v>56053.2</v>
      </c>
      <c r="OG10" s="97">
        <f t="shared" si="16"/>
        <v>33072.199999999997</v>
      </c>
      <c r="OH10" s="97">
        <f t="shared" si="11"/>
        <v>8398</v>
      </c>
      <c r="OI10" s="97">
        <f t="shared" si="11"/>
        <v>71148.600000000006</v>
      </c>
      <c r="OJ10" s="97">
        <f>+OJ11+OJ25+OJ35+OJ40+OJ42+OJ45</f>
        <v>142753.20000000001</v>
      </c>
      <c r="OK10" s="97">
        <f>+OK11+OK25+OK35+OK40+OK42+OK45</f>
        <v>43949</v>
      </c>
      <c r="OL10" s="97">
        <f t="shared" si="11"/>
        <v>146712</v>
      </c>
      <c r="OM10" s="97">
        <f t="shared" si="11"/>
        <v>1536644.8</v>
      </c>
      <c r="ON10" s="97">
        <f>+ON11+ON25+ON35+ON40+ON42+ON45</f>
        <v>1591.6000000000001</v>
      </c>
      <c r="OO10" s="97">
        <f t="shared" si="11"/>
        <v>6504.6</v>
      </c>
      <c r="OP10" s="97">
        <f t="shared" si="11"/>
        <v>15878.400000000001</v>
      </c>
      <c r="OQ10" s="97">
        <f t="shared" si="11"/>
        <v>8402.2999999999993</v>
      </c>
      <c r="OR10" s="97">
        <f t="shared" si="11"/>
        <v>9472.2999999999993</v>
      </c>
      <c r="OS10" s="97">
        <f t="shared" si="11"/>
        <v>530710.80000000005</v>
      </c>
      <c r="OT10" s="97">
        <f t="shared" si="11"/>
        <v>77537.700000000012</v>
      </c>
      <c r="OU10" s="97">
        <f t="shared" si="5"/>
        <v>12372.4</v>
      </c>
      <c r="OV10" s="97">
        <f t="shared" si="5"/>
        <v>615.6</v>
      </c>
      <c r="OW10" s="97">
        <f t="shared" ref="OW10:PH10" si="17">+OW11+OW25+OW35+OW40+OW42+OW45</f>
        <v>0.30000000000000071</v>
      </c>
      <c r="OX10" s="97">
        <f t="shared" si="17"/>
        <v>2828.5</v>
      </c>
      <c r="OY10" s="97">
        <f t="shared" si="17"/>
        <v>10051</v>
      </c>
      <c r="OZ10" s="97">
        <f t="shared" si="17"/>
        <v>33883190.799999997</v>
      </c>
      <c r="PA10" s="97">
        <f t="shared" si="17"/>
        <v>41024.300000000003</v>
      </c>
      <c r="PB10" s="97">
        <f>+PB11+PB25+PB35+PB40+PB42+PB45</f>
        <v>99690.099999999991</v>
      </c>
      <c r="PC10" s="97">
        <f t="shared" si="17"/>
        <v>2702</v>
      </c>
      <c r="PD10" s="97">
        <f>+PD11+PD25+PD35+PD40+PD42+PD45</f>
        <v>32953.5</v>
      </c>
      <c r="PE10" s="97">
        <f t="shared" si="17"/>
        <v>5976.1</v>
      </c>
      <c r="PF10" s="97">
        <f t="shared" si="17"/>
        <v>3529.5</v>
      </c>
      <c r="PG10" s="97">
        <f t="shared" si="17"/>
        <v>2693590.2</v>
      </c>
      <c r="PH10" s="97">
        <f t="shared" si="17"/>
        <v>14702.299999999997</v>
      </c>
      <c r="PI10" s="97">
        <f>+PI11+PI25+PI35+PI40+PI42+PI45</f>
        <v>40147.9</v>
      </c>
      <c r="PJ10" s="97">
        <f t="shared" ref="PJ10:QC10" si="18">+PJ11+PJ25+PJ35+PJ40+PJ42+PJ45</f>
        <v>77285.800000000017</v>
      </c>
      <c r="PK10" s="97">
        <f t="shared" si="18"/>
        <v>549.29999999999995</v>
      </c>
      <c r="PL10" s="97">
        <f t="shared" si="18"/>
        <v>754.4</v>
      </c>
      <c r="PM10" s="97">
        <f t="shared" si="18"/>
        <v>1016.4</v>
      </c>
      <c r="PN10" s="97">
        <f t="shared" ref="PN10:PS10" si="19">+PN11+PN25+PN35+PN40+PN42+PN45</f>
        <v>18568</v>
      </c>
      <c r="PO10" s="97">
        <f t="shared" si="19"/>
        <v>8213.4</v>
      </c>
      <c r="PP10" s="97">
        <f t="shared" si="19"/>
        <v>5695.9</v>
      </c>
      <c r="PQ10" s="97">
        <f t="shared" si="19"/>
        <v>11843.8</v>
      </c>
      <c r="PR10" s="97">
        <f t="shared" si="19"/>
        <v>15673.8</v>
      </c>
      <c r="PS10" s="97">
        <f t="shared" si="19"/>
        <v>44037.4</v>
      </c>
      <c r="PT10" s="97">
        <f t="shared" si="18"/>
        <v>733.99999999999989</v>
      </c>
      <c r="PU10" s="97">
        <f>+PU11+PU25+PU35+PU40+PU42+PU45</f>
        <v>17890.2</v>
      </c>
      <c r="PV10" s="97">
        <f t="shared" si="18"/>
        <v>23869.7</v>
      </c>
      <c r="PW10" s="97">
        <f>+PW11+PW25+PW35+PW40+PW42+PW45</f>
        <v>547001.19999999995</v>
      </c>
      <c r="PX10" s="97">
        <f>+PX11+PX25+PX35+PX40+PX42+PX45</f>
        <v>5750.5999999999995</v>
      </c>
      <c r="PY10" s="97">
        <f>+PY11+PY25+PY35+PY40+PY42+PY45</f>
        <v>300</v>
      </c>
      <c r="PZ10" s="97">
        <f>+PZ11+PZ25+PZ35+PZ40+PZ42+PZ45</f>
        <v>1224.2</v>
      </c>
      <c r="QA10" s="97">
        <f>+QA11+QA25+QA35+QA40+QA42+QA45</f>
        <v>935328.39999999991</v>
      </c>
      <c r="QB10" s="97">
        <f t="shared" si="18"/>
        <v>1734.6</v>
      </c>
      <c r="QC10" s="97">
        <f t="shared" si="18"/>
        <v>18164.099999999999</v>
      </c>
      <c r="QD10" s="97">
        <f>+QD11+QD25+QD35+QD40+QD42+QD45</f>
        <v>270410.90000000002</v>
      </c>
      <c r="QE10" s="97">
        <f t="shared" ref="QE10:QJ10" si="20">+QE11+QE25+QE35+QE40+QE42+QE45</f>
        <v>38639.600000000006</v>
      </c>
      <c r="QF10" s="97">
        <f t="shared" si="20"/>
        <v>54403.7</v>
      </c>
      <c r="QG10" s="97">
        <f t="shared" si="20"/>
        <v>8829.1</v>
      </c>
      <c r="QH10" s="97">
        <f t="shared" si="20"/>
        <v>3379</v>
      </c>
      <c r="QI10" s="97">
        <f t="shared" si="20"/>
        <v>364081.3</v>
      </c>
      <c r="QJ10" s="97">
        <f t="shared" si="20"/>
        <v>110108.7</v>
      </c>
      <c r="QK10" s="97">
        <f>+QK11+QK25+QK35+QK40+QK42+QK45</f>
        <v>5787.1</v>
      </c>
      <c r="QL10" s="97">
        <f t="shared" ref="QL10:QM10" si="21">+QL11+QL25+QL35+QL40+QL42+QL45</f>
        <v>2902.3</v>
      </c>
      <c r="QM10" s="97">
        <f t="shared" si="21"/>
        <v>17817</v>
      </c>
      <c r="QN10" s="97">
        <f>+QN11+QN25+QN35+QN40+QN42+QN45</f>
        <v>57165.299999999996</v>
      </c>
      <c r="QO10" s="97">
        <f>+QO11+QO25+QO35+QO40+QO42+QO45</f>
        <v>423657.1</v>
      </c>
      <c r="QP10" s="97">
        <f t="shared" ref="QP10" si="22">+QP11+QP25+QP35+QP40+QP42+QP45</f>
        <v>21329.8</v>
      </c>
      <c r="QQ10" s="97">
        <f>+QQ11+QQ25+QQ35+QQ40+QQ42+QQ45</f>
        <v>152487.4</v>
      </c>
      <c r="QR10" s="97">
        <f>+QR11+QR25+QR35+QR40+QR42+QR45</f>
        <v>230881.90000000002</v>
      </c>
      <c r="QS10" s="97">
        <f t="shared" ref="QS10:RM10" si="23">+QS11+QS25+QS35+QS40+QS42+QS45</f>
        <v>33355</v>
      </c>
      <c r="QT10" s="97">
        <f>+QT11+QT25+QT35+QT40+QT42+QT45</f>
        <v>115352</v>
      </c>
      <c r="QU10" s="97">
        <f>+QU11+QU25+QU35+QU40+QU42+QU45</f>
        <v>26577.5</v>
      </c>
      <c r="QV10" s="97">
        <f t="shared" si="23"/>
        <v>1300</v>
      </c>
      <c r="QW10" s="97">
        <f t="shared" si="23"/>
        <v>8000</v>
      </c>
      <c r="QX10" s="97">
        <f t="shared" si="23"/>
        <v>0</v>
      </c>
      <c r="QY10" s="97">
        <f t="shared" si="23"/>
        <v>3315.4</v>
      </c>
      <c r="QZ10" s="97">
        <f t="shared" si="23"/>
        <v>1470.5</v>
      </c>
      <c r="RA10" s="97">
        <f t="shared" si="23"/>
        <v>960</v>
      </c>
      <c r="RB10" s="97">
        <f t="shared" si="23"/>
        <v>3896.8</v>
      </c>
      <c r="RC10" s="97">
        <f t="shared" si="23"/>
        <v>679.8</v>
      </c>
      <c r="RD10" s="97">
        <f t="shared" si="23"/>
        <v>289</v>
      </c>
      <c r="RE10" s="97">
        <f>+RE11+RE25+RE35+RE40+RE42+RE45</f>
        <v>3461.2</v>
      </c>
      <c r="RF10" s="97">
        <f t="shared" si="23"/>
        <v>125392.4</v>
      </c>
      <c r="RG10" s="97">
        <f t="shared" si="23"/>
        <v>132083.19999999998</v>
      </c>
      <c r="RH10" s="97">
        <f t="shared" si="23"/>
        <v>1386</v>
      </c>
      <c r="RI10" s="97">
        <f t="shared" si="23"/>
        <v>191.3</v>
      </c>
      <c r="RJ10" s="97">
        <f>+RJ11+RJ25+RJ35+RJ40+RJ42+RJ45</f>
        <v>1231.5</v>
      </c>
      <c r="RK10" s="97">
        <f t="shared" si="23"/>
        <v>58563.899999999994</v>
      </c>
      <c r="RL10" s="97">
        <f t="shared" si="23"/>
        <v>1265.5</v>
      </c>
      <c r="RM10" s="97">
        <f t="shared" si="23"/>
        <v>987.3</v>
      </c>
      <c r="RN10" s="97">
        <f>+RN11+RN25+RN35+RN40+RN42+RN45</f>
        <v>26654.899999999998</v>
      </c>
    </row>
    <row r="11" spans="1:482" s="59" customFormat="1" ht="9.75" customHeight="1" x14ac:dyDescent="0.2">
      <c r="A11" s="179" t="s">
        <v>855</v>
      </c>
      <c r="B11" s="179"/>
      <c r="C11" s="165"/>
      <c r="D11" s="142">
        <f>SUM(E11:RR11)</f>
        <v>996322081.4000001</v>
      </c>
      <c r="E11" s="143">
        <f t="shared" ref="E11:AJ11" si="24">SUM(E12:E24)</f>
        <v>89909.900000000009</v>
      </c>
      <c r="F11" s="143">
        <f t="shared" si="24"/>
        <v>7939.3</v>
      </c>
      <c r="G11" s="143">
        <f t="shared" si="24"/>
        <v>48811.899999999994</v>
      </c>
      <c r="H11" s="143">
        <f t="shared" si="24"/>
        <v>5818652.6999999993</v>
      </c>
      <c r="I11" s="143">
        <f t="shared" si="24"/>
        <v>125365.70000000001</v>
      </c>
      <c r="J11" s="143">
        <f t="shared" si="24"/>
        <v>49805891.600000009</v>
      </c>
      <c r="K11" s="143">
        <f t="shared" si="24"/>
        <v>480421.4</v>
      </c>
      <c r="L11" s="143">
        <f t="shared" si="24"/>
        <v>502666.7</v>
      </c>
      <c r="M11" s="143">
        <f t="shared" si="24"/>
        <v>124867.9</v>
      </c>
      <c r="N11" s="143">
        <f t="shared" si="24"/>
        <v>0</v>
      </c>
      <c r="O11" s="143">
        <f t="shared" si="24"/>
        <v>42276.2</v>
      </c>
      <c r="P11" s="143">
        <f t="shared" si="24"/>
        <v>904383.9</v>
      </c>
      <c r="Q11" s="143">
        <f t="shared" si="24"/>
        <v>166776</v>
      </c>
      <c r="R11" s="143">
        <f t="shared" si="24"/>
        <v>1269856.8</v>
      </c>
      <c r="S11" s="143">
        <f t="shared" si="24"/>
        <v>36681.300000000003</v>
      </c>
      <c r="T11" s="143">
        <f t="shared" si="24"/>
        <v>76853.2</v>
      </c>
      <c r="U11" s="143">
        <f t="shared" si="24"/>
        <v>0</v>
      </c>
      <c r="V11" s="143">
        <f t="shared" si="24"/>
        <v>82567.600000000006</v>
      </c>
      <c r="W11" s="143">
        <f t="shared" si="24"/>
        <v>600</v>
      </c>
      <c r="X11" s="143">
        <f t="shared" si="24"/>
        <v>1864966.7000000002</v>
      </c>
      <c r="Y11" s="143">
        <f t="shared" si="24"/>
        <v>515030.60000000003</v>
      </c>
      <c r="Z11" s="143">
        <f t="shared" si="24"/>
        <v>132324.6</v>
      </c>
      <c r="AA11" s="143">
        <f t="shared" si="24"/>
        <v>516.20000000000005</v>
      </c>
      <c r="AB11" s="143">
        <f t="shared" si="24"/>
        <v>212056.80000000002</v>
      </c>
      <c r="AC11" s="143">
        <f t="shared" si="24"/>
        <v>4215137.7</v>
      </c>
      <c r="AD11" s="143">
        <f t="shared" si="24"/>
        <v>7611365.7000000002</v>
      </c>
      <c r="AE11" s="143">
        <f t="shared" si="24"/>
        <v>558922843.60000002</v>
      </c>
      <c r="AF11" s="143">
        <f t="shared" si="24"/>
        <v>1423306.9</v>
      </c>
      <c r="AG11" s="143">
        <f t="shared" si="24"/>
        <v>83257.3</v>
      </c>
      <c r="AH11" s="143">
        <f t="shared" si="24"/>
        <v>2548315.1</v>
      </c>
      <c r="AI11" s="143">
        <f t="shared" si="24"/>
        <v>383011.1</v>
      </c>
      <c r="AJ11" s="143">
        <f t="shared" si="24"/>
        <v>44408666.799999997</v>
      </c>
      <c r="AK11" s="143">
        <f t="shared" ref="AK11:BJ11" si="25">SUM(AK12:AK24)</f>
        <v>80166905</v>
      </c>
      <c r="AL11" s="143">
        <f t="shared" si="25"/>
        <v>15738.5</v>
      </c>
      <c r="AM11" s="143">
        <f t="shared" si="25"/>
        <v>675901.1</v>
      </c>
      <c r="AN11" s="143">
        <f t="shared" si="25"/>
        <v>26976.2</v>
      </c>
      <c r="AO11" s="143">
        <f t="shared" si="25"/>
        <v>749165.39999999991</v>
      </c>
      <c r="AP11" s="143">
        <f t="shared" si="25"/>
        <v>9374571.2000000011</v>
      </c>
      <c r="AQ11" s="143">
        <f t="shared" si="25"/>
        <v>6162777.5000000009</v>
      </c>
      <c r="AR11" s="143">
        <f t="shared" si="25"/>
        <v>241616.80000000002</v>
      </c>
      <c r="AS11" s="143">
        <f t="shared" si="25"/>
        <v>146997.29999999999</v>
      </c>
      <c r="AT11" s="143">
        <f t="shared" si="25"/>
        <v>33487408.200000003</v>
      </c>
      <c r="AU11" s="143">
        <f t="shared" si="25"/>
        <v>50082.7</v>
      </c>
      <c r="AV11" s="143">
        <f t="shared" si="25"/>
        <v>12386975.1</v>
      </c>
      <c r="AW11" s="143">
        <f t="shared" si="25"/>
        <v>3924029.5</v>
      </c>
      <c r="AX11" s="143">
        <f t="shared" si="25"/>
        <v>62518.400000000001</v>
      </c>
      <c r="AY11" s="143">
        <f t="shared" si="25"/>
        <v>277384.5</v>
      </c>
      <c r="AZ11" s="143">
        <f t="shared" si="25"/>
        <v>41401.800000000003</v>
      </c>
      <c r="BA11" s="143">
        <f t="shared" si="25"/>
        <v>339204.7</v>
      </c>
      <c r="BB11" s="143">
        <f t="shared" si="25"/>
        <v>3773464.3</v>
      </c>
      <c r="BC11" s="143">
        <f t="shared" si="25"/>
        <v>4006098.5</v>
      </c>
      <c r="BD11" s="143">
        <f t="shared" si="25"/>
        <v>1263045.9000000001</v>
      </c>
      <c r="BE11" s="143">
        <f t="shared" si="25"/>
        <v>2319836.5</v>
      </c>
      <c r="BF11" s="143">
        <f t="shared" si="25"/>
        <v>7659.8</v>
      </c>
      <c r="BG11" s="143">
        <f t="shared" si="25"/>
        <v>179439</v>
      </c>
      <c r="BH11" s="143">
        <f t="shared" si="25"/>
        <v>67993.5</v>
      </c>
      <c r="BI11" s="143">
        <f t="shared" si="25"/>
        <v>8768.9</v>
      </c>
      <c r="BJ11" s="143">
        <f t="shared" si="25"/>
        <v>60135.199999999997</v>
      </c>
      <c r="BK11" s="143" t="s">
        <v>917</v>
      </c>
      <c r="BL11" s="98">
        <f t="shared" ref="BL11:CL11" si="26">SUM(BL12:BL24)</f>
        <v>0</v>
      </c>
      <c r="BM11" s="98">
        <f t="shared" si="26"/>
        <v>42025.2</v>
      </c>
      <c r="BN11" s="98">
        <f t="shared" si="26"/>
        <v>40613</v>
      </c>
      <c r="BO11" s="98">
        <f t="shared" si="26"/>
        <v>20278.599999999999</v>
      </c>
      <c r="BP11" s="98">
        <f t="shared" si="26"/>
        <v>59392.200000000012</v>
      </c>
      <c r="BQ11" s="98">
        <f t="shared" si="26"/>
        <v>110941.5</v>
      </c>
      <c r="BR11" s="98">
        <f t="shared" si="26"/>
        <v>705368.6</v>
      </c>
      <c r="BS11" s="98">
        <f t="shared" si="26"/>
        <v>15928.800000000001</v>
      </c>
      <c r="BT11" s="98">
        <f t="shared" si="26"/>
        <v>2272.5</v>
      </c>
      <c r="BU11" s="98">
        <f t="shared" si="26"/>
        <v>3895.9</v>
      </c>
      <c r="BV11" s="98">
        <f t="shared" si="26"/>
        <v>116454.5</v>
      </c>
      <c r="BW11" s="98">
        <f t="shared" si="26"/>
        <v>13495.6</v>
      </c>
      <c r="BX11" s="98">
        <f t="shared" si="26"/>
        <v>43307.299999999996</v>
      </c>
      <c r="BY11" s="98">
        <f t="shared" si="26"/>
        <v>65987.199999999997</v>
      </c>
      <c r="BZ11" s="98">
        <f t="shared" si="26"/>
        <v>74194.5</v>
      </c>
      <c r="CA11" s="98">
        <f t="shared" si="26"/>
        <v>14431.9</v>
      </c>
      <c r="CB11" s="98">
        <f t="shared" si="26"/>
        <v>100</v>
      </c>
      <c r="CC11" s="98">
        <f t="shared" si="26"/>
        <v>1078221</v>
      </c>
      <c r="CD11" s="98">
        <f t="shared" si="26"/>
        <v>135557.6</v>
      </c>
      <c r="CE11" s="98">
        <f t="shared" si="26"/>
        <v>27555.200000000001</v>
      </c>
      <c r="CF11" s="98">
        <f t="shared" si="26"/>
        <v>14743.3</v>
      </c>
      <c r="CG11" s="98">
        <f t="shared" si="26"/>
        <v>30504.7</v>
      </c>
      <c r="CH11" s="98">
        <f t="shared" si="26"/>
        <v>85596.700000000012</v>
      </c>
      <c r="CI11" s="98">
        <f t="shared" si="26"/>
        <v>10326.199999999999</v>
      </c>
      <c r="CJ11" s="98">
        <f t="shared" si="26"/>
        <v>73775.199999999997</v>
      </c>
      <c r="CK11" s="98">
        <f t="shared" si="26"/>
        <v>9730.2000000000007</v>
      </c>
      <c r="CL11" s="98">
        <f t="shared" si="26"/>
        <v>18930.400000000001</v>
      </c>
      <c r="CM11" s="98">
        <f t="shared" ref="CM11:DR11" si="27">SUM(CM12:CM24)</f>
        <v>3389408.7</v>
      </c>
      <c r="CN11" s="98">
        <f t="shared" si="27"/>
        <v>36661.800000000003</v>
      </c>
      <c r="CO11" s="98">
        <f t="shared" si="27"/>
        <v>42674.100000000006</v>
      </c>
      <c r="CP11" s="98">
        <f t="shared" si="27"/>
        <v>114742</v>
      </c>
      <c r="CQ11" s="98">
        <f t="shared" si="27"/>
        <v>8771.5999999999985</v>
      </c>
      <c r="CR11" s="98">
        <f t="shared" si="27"/>
        <v>7511</v>
      </c>
      <c r="CS11" s="98">
        <f t="shared" si="27"/>
        <v>6690697</v>
      </c>
      <c r="CT11" s="98">
        <f t="shared" si="27"/>
        <v>52896.2</v>
      </c>
      <c r="CU11" s="98">
        <f t="shared" si="27"/>
        <v>20445.7</v>
      </c>
      <c r="CV11" s="98">
        <f t="shared" si="27"/>
        <v>1007099.7000000001</v>
      </c>
      <c r="CW11" s="98">
        <f t="shared" si="27"/>
        <v>506576.39999999997</v>
      </c>
      <c r="CX11" s="98">
        <f t="shared" si="27"/>
        <v>15637.5</v>
      </c>
      <c r="CY11" s="98">
        <f t="shared" si="27"/>
        <v>3699.1</v>
      </c>
      <c r="CZ11" s="98">
        <f t="shared" si="27"/>
        <v>29934.9</v>
      </c>
      <c r="DA11" s="98">
        <f t="shared" si="27"/>
        <v>619411.4</v>
      </c>
      <c r="DB11" s="98">
        <f t="shared" si="27"/>
        <v>265176.2</v>
      </c>
      <c r="DC11" s="98">
        <f t="shared" si="27"/>
        <v>33807.4</v>
      </c>
      <c r="DD11" s="98">
        <f t="shared" si="27"/>
        <v>5240</v>
      </c>
      <c r="DE11" s="98">
        <f t="shared" si="27"/>
        <v>23460.5</v>
      </c>
      <c r="DF11" s="98">
        <f t="shared" si="27"/>
        <v>45452.5</v>
      </c>
      <c r="DG11" s="98">
        <f t="shared" si="27"/>
        <v>255780.10000000003</v>
      </c>
      <c r="DH11" s="98">
        <f t="shared" si="27"/>
        <v>13193.599999999999</v>
      </c>
      <c r="DI11" s="98">
        <f t="shared" si="27"/>
        <v>424418.4</v>
      </c>
      <c r="DJ11" s="98">
        <f t="shared" si="27"/>
        <v>11824.7</v>
      </c>
      <c r="DK11" s="98">
        <f t="shared" si="27"/>
        <v>36824.6</v>
      </c>
      <c r="DL11" s="98">
        <f t="shared" si="27"/>
        <v>1205343</v>
      </c>
      <c r="DM11" s="98">
        <f t="shared" si="27"/>
        <v>24950.1</v>
      </c>
      <c r="DN11" s="98">
        <f t="shared" si="27"/>
        <v>8017.2</v>
      </c>
      <c r="DO11" s="98">
        <f t="shared" si="27"/>
        <v>34996.5</v>
      </c>
      <c r="DP11" s="98">
        <f t="shared" si="27"/>
        <v>19194.900000000001</v>
      </c>
      <c r="DQ11" s="98">
        <f t="shared" si="27"/>
        <v>51442</v>
      </c>
      <c r="DR11" s="98">
        <f t="shared" si="27"/>
        <v>457472.3</v>
      </c>
      <c r="DS11" s="98">
        <f t="shared" ref="DS11:EV11" si="28">SUM(DS12:DS24)</f>
        <v>1416536</v>
      </c>
      <c r="DT11" s="98">
        <f t="shared" si="28"/>
        <v>40098.6</v>
      </c>
      <c r="DU11" s="98">
        <f t="shared" si="28"/>
        <v>49989</v>
      </c>
      <c r="DV11" s="98">
        <f t="shared" si="28"/>
        <v>667242</v>
      </c>
      <c r="DW11" s="98">
        <f t="shared" si="28"/>
        <v>81699.5</v>
      </c>
      <c r="DX11" s="98">
        <f t="shared" si="28"/>
        <v>32504.2</v>
      </c>
      <c r="DY11" s="98">
        <f t="shared" si="28"/>
        <v>36402.699999999997</v>
      </c>
      <c r="DZ11" s="98">
        <f t="shared" si="28"/>
        <v>19561.099999999999</v>
      </c>
      <c r="EA11" s="98">
        <f t="shared" si="28"/>
        <v>19561.099999999999</v>
      </c>
      <c r="EB11" s="98">
        <f t="shared" si="28"/>
        <v>1482553.5</v>
      </c>
      <c r="EC11" s="98">
        <f t="shared" si="28"/>
        <v>96825</v>
      </c>
      <c r="ED11" s="98">
        <f t="shared" si="28"/>
        <v>61906.600000000006</v>
      </c>
      <c r="EE11" s="98">
        <f t="shared" si="28"/>
        <v>110305.4</v>
      </c>
      <c r="EF11" s="98">
        <f t="shared" si="28"/>
        <v>191738.2</v>
      </c>
      <c r="EG11" s="98">
        <f t="shared" si="28"/>
        <v>300901.3</v>
      </c>
      <c r="EH11" s="98">
        <f t="shared" si="28"/>
        <v>82897</v>
      </c>
      <c r="EI11" s="98">
        <f t="shared" si="28"/>
        <v>1673811</v>
      </c>
      <c r="EJ11" s="98">
        <f t="shared" si="28"/>
        <v>4510</v>
      </c>
      <c r="EK11" s="98">
        <f>SUM(EK12:EK24)</f>
        <v>50459.6</v>
      </c>
      <c r="EL11" s="98">
        <f t="shared" si="28"/>
        <v>104427.9</v>
      </c>
      <c r="EM11" s="98">
        <f t="shared" si="28"/>
        <v>510.9</v>
      </c>
      <c r="EN11" s="98">
        <f t="shared" si="28"/>
        <v>27843.599999999999</v>
      </c>
      <c r="EO11" s="98">
        <f t="shared" si="28"/>
        <v>53462.100000000006</v>
      </c>
      <c r="EP11" s="98">
        <f t="shared" si="28"/>
        <v>1487.7</v>
      </c>
      <c r="EQ11" s="98">
        <f t="shared" si="28"/>
        <v>31074.1</v>
      </c>
      <c r="ER11" s="98">
        <f t="shared" si="28"/>
        <v>1215424</v>
      </c>
      <c r="ES11" s="98">
        <f t="shared" si="28"/>
        <v>37003.599999999999</v>
      </c>
      <c r="ET11" s="98">
        <f t="shared" si="28"/>
        <v>134000.4</v>
      </c>
      <c r="EU11" s="98">
        <f t="shared" si="28"/>
        <v>68864.3</v>
      </c>
      <c r="EV11" s="98">
        <f t="shared" si="28"/>
        <v>6517.4000000000005</v>
      </c>
      <c r="EW11" s="98">
        <f t="shared" ref="EW11:OV11" si="29">SUM(EW12:EW24)</f>
        <v>2985</v>
      </c>
      <c r="EX11" s="98">
        <f t="shared" si="29"/>
        <v>4828.2</v>
      </c>
      <c r="EY11" s="98">
        <f t="shared" si="29"/>
        <v>2868.5</v>
      </c>
      <c r="EZ11" s="98">
        <f>SUM(EZ12:EZ24)</f>
        <v>897.30000000000007</v>
      </c>
      <c r="FA11" s="98">
        <f>SUM(FA12:FA24)</f>
        <v>1818.6000000000001</v>
      </c>
      <c r="FB11" s="98">
        <f>SUM(FB12:FB24)</f>
        <v>825.09999999999991</v>
      </c>
      <c r="FC11" s="98">
        <f>SUM(FC12:FC24)</f>
        <v>799.4</v>
      </c>
      <c r="FD11" s="98">
        <f t="shared" si="29"/>
        <v>107896.5</v>
      </c>
      <c r="FE11" s="98">
        <f t="shared" si="29"/>
        <v>8634.5</v>
      </c>
      <c r="FF11" s="98">
        <f t="shared" ref="FF11:GR11" si="30">SUM(FF12:FF24)</f>
        <v>130398.5</v>
      </c>
      <c r="FG11" s="98">
        <f t="shared" si="30"/>
        <v>67932.600000000006</v>
      </c>
      <c r="FH11" s="98">
        <f t="shared" si="30"/>
        <v>148121.5</v>
      </c>
      <c r="FI11" s="98">
        <f t="shared" si="30"/>
        <v>20515.599999999999</v>
      </c>
      <c r="FJ11" s="98">
        <f t="shared" si="30"/>
        <v>0</v>
      </c>
      <c r="FK11" s="98">
        <f t="shared" si="30"/>
        <v>3669.7</v>
      </c>
      <c r="FL11" s="98">
        <f t="shared" si="30"/>
        <v>1343.1</v>
      </c>
      <c r="FM11" s="98">
        <f t="shared" si="30"/>
        <v>168641.3</v>
      </c>
      <c r="FN11" s="98">
        <f t="shared" si="30"/>
        <v>18062.099999999999</v>
      </c>
      <c r="FO11" s="98">
        <f t="shared" si="30"/>
        <v>35004.199999999997</v>
      </c>
      <c r="FP11" s="98">
        <f t="shared" si="30"/>
        <v>177033.3</v>
      </c>
      <c r="FQ11" s="98">
        <f t="shared" si="30"/>
        <v>14059.5</v>
      </c>
      <c r="FR11" s="98">
        <f t="shared" si="30"/>
        <v>27905</v>
      </c>
      <c r="FS11" s="98">
        <f t="shared" si="30"/>
        <v>11295.7</v>
      </c>
      <c r="FT11" s="98">
        <f t="shared" si="30"/>
        <v>106688.3</v>
      </c>
      <c r="FU11" s="98">
        <f t="shared" si="30"/>
        <v>3322.8</v>
      </c>
      <c r="FV11" s="98">
        <f t="shared" si="30"/>
        <v>179811.7</v>
      </c>
      <c r="FW11" s="98">
        <f t="shared" si="30"/>
        <v>4934.5</v>
      </c>
      <c r="FX11" s="98">
        <f t="shared" si="30"/>
        <v>26368.6</v>
      </c>
      <c r="FY11" s="98">
        <f t="shared" si="30"/>
        <v>5125.3999999999996</v>
      </c>
      <c r="FZ11" s="98">
        <f t="shared" si="30"/>
        <v>39890.199999999997</v>
      </c>
      <c r="GA11" s="98">
        <f t="shared" si="30"/>
        <v>469.7</v>
      </c>
      <c r="GB11" s="98">
        <f t="shared" si="30"/>
        <v>276029.7</v>
      </c>
      <c r="GC11" s="98">
        <f t="shared" si="30"/>
        <v>10699.599999999999</v>
      </c>
      <c r="GD11" s="98">
        <f t="shared" si="30"/>
        <v>119495.6</v>
      </c>
      <c r="GE11" s="98">
        <f t="shared" si="30"/>
        <v>166724.79999999999</v>
      </c>
      <c r="GF11" s="98">
        <f t="shared" si="30"/>
        <v>19096.7</v>
      </c>
      <c r="GG11" s="98">
        <f t="shared" si="30"/>
        <v>14512.7</v>
      </c>
      <c r="GH11" s="98">
        <f t="shared" si="30"/>
        <v>396115.6</v>
      </c>
      <c r="GI11" s="98">
        <f t="shared" si="30"/>
        <v>2216844.9</v>
      </c>
      <c r="GJ11" s="98">
        <f t="shared" si="30"/>
        <v>45070.2</v>
      </c>
      <c r="GK11" s="98">
        <f t="shared" si="30"/>
        <v>15568.3</v>
      </c>
      <c r="GL11" s="98">
        <f t="shared" si="30"/>
        <v>7273.8</v>
      </c>
      <c r="GM11" s="98">
        <f t="shared" si="30"/>
        <v>10377.700000000001</v>
      </c>
      <c r="GN11" s="98">
        <f t="shared" si="30"/>
        <v>21899.4</v>
      </c>
      <c r="GO11" s="98">
        <f t="shared" si="30"/>
        <v>49840.899999999994</v>
      </c>
      <c r="GP11" s="98">
        <f t="shared" si="30"/>
        <v>9012.6</v>
      </c>
      <c r="GQ11" s="98">
        <f t="shared" si="30"/>
        <v>94163.5</v>
      </c>
      <c r="GR11" s="98">
        <f t="shared" si="30"/>
        <v>9279.2999999999993</v>
      </c>
      <c r="GS11" s="98">
        <f t="shared" si="29"/>
        <v>50</v>
      </c>
      <c r="GT11" s="98">
        <f t="shared" ref="GT11:HG11" si="31">SUM(GT12:GT24)</f>
        <v>3736.2</v>
      </c>
      <c r="GU11" s="98">
        <f t="shared" si="31"/>
        <v>43923.8</v>
      </c>
      <c r="GV11" s="98">
        <f t="shared" si="31"/>
        <v>10100</v>
      </c>
      <c r="GW11" s="98">
        <f t="shared" si="31"/>
        <v>2669.2</v>
      </c>
      <c r="GX11" s="98">
        <f t="shared" si="31"/>
        <v>1030.4000000000001</v>
      </c>
      <c r="GY11" s="98">
        <f t="shared" si="31"/>
        <v>10242.799999999999</v>
      </c>
      <c r="GZ11" s="98">
        <f t="shared" si="31"/>
        <v>2</v>
      </c>
      <c r="HA11" s="98">
        <f t="shared" si="31"/>
        <v>54275.199999999997</v>
      </c>
      <c r="HB11" s="98">
        <f t="shared" si="31"/>
        <v>48365.9</v>
      </c>
      <c r="HC11" s="98">
        <f t="shared" si="31"/>
        <v>0</v>
      </c>
      <c r="HD11" s="98">
        <f t="shared" si="31"/>
        <v>104996.9</v>
      </c>
      <c r="HE11" s="98">
        <f t="shared" si="31"/>
        <v>86171.9</v>
      </c>
      <c r="HF11" s="98">
        <f t="shared" si="31"/>
        <v>20</v>
      </c>
      <c r="HG11" s="98">
        <f t="shared" si="31"/>
        <v>12551.2</v>
      </c>
      <c r="HH11" s="98">
        <f t="shared" si="29"/>
        <v>42861.1</v>
      </c>
      <c r="HI11" s="98">
        <f t="shared" ref="HI11:IN11" si="32">SUM(HI12:HI24)</f>
        <v>101507.7</v>
      </c>
      <c r="HJ11" s="98">
        <f t="shared" si="32"/>
        <v>12350</v>
      </c>
      <c r="HK11" s="98">
        <f t="shared" si="32"/>
        <v>10</v>
      </c>
      <c r="HL11" s="98">
        <f t="shared" si="32"/>
        <v>600</v>
      </c>
      <c r="HM11" s="98">
        <f t="shared" si="32"/>
        <v>189795.8</v>
      </c>
      <c r="HN11" s="98">
        <f t="shared" si="32"/>
        <v>345832.5</v>
      </c>
      <c r="HO11" s="98">
        <f t="shared" si="32"/>
        <v>186938.2</v>
      </c>
      <c r="HP11" s="98">
        <f t="shared" si="32"/>
        <v>142938.30000000002</v>
      </c>
      <c r="HQ11" s="98">
        <f t="shared" si="32"/>
        <v>24330.1</v>
      </c>
      <c r="HR11" s="98">
        <f t="shared" si="32"/>
        <v>114765.9</v>
      </c>
      <c r="HS11" s="98">
        <f t="shared" si="32"/>
        <v>46225.7</v>
      </c>
      <c r="HT11" s="98">
        <f t="shared" si="32"/>
        <v>93413.7</v>
      </c>
      <c r="HU11" s="98">
        <f t="shared" si="32"/>
        <v>2820.5</v>
      </c>
      <c r="HV11" s="98">
        <f t="shared" si="32"/>
        <v>27851.599999999999</v>
      </c>
      <c r="HW11" s="98">
        <f t="shared" si="32"/>
        <v>35615.4</v>
      </c>
      <c r="HX11" s="98">
        <f t="shared" si="32"/>
        <v>11858.8</v>
      </c>
      <c r="HY11" s="98">
        <f t="shared" si="32"/>
        <v>49246.5</v>
      </c>
      <c r="HZ11" s="98">
        <f t="shared" si="32"/>
        <v>82562</v>
      </c>
      <c r="IA11" s="98">
        <f t="shared" si="32"/>
        <v>81554.7</v>
      </c>
      <c r="IB11" s="98">
        <f t="shared" si="32"/>
        <v>16012.6</v>
      </c>
      <c r="IC11" s="98">
        <f t="shared" si="32"/>
        <v>60423.899999999994</v>
      </c>
      <c r="ID11" s="98">
        <f t="shared" si="32"/>
        <v>542864.10000000009</v>
      </c>
      <c r="IE11" s="98">
        <f t="shared" si="32"/>
        <v>500</v>
      </c>
      <c r="IF11" s="98">
        <f t="shared" si="32"/>
        <v>6593.6</v>
      </c>
      <c r="IG11" s="98">
        <f t="shared" si="32"/>
        <v>103439</v>
      </c>
      <c r="IH11" s="98">
        <f t="shared" si="32"/>
        <v>75139.400000000009</v>
      </c>
      <c r="II11" s="98">
        <f t="shared" si="32"/>
        <v>81399.5</v>
      </c>
      <c r="IJ11" s="98">
        <f t="shared" si="32"/>
        <v>139156</v>
      </c>
      <c r="IK11" s="98">
        <f t="shared" si="32"/>
        <v>250442.90000000002</v>
      </c>
      <c r="IL11" s="98">
        <f t="shared" si="32"/>
        <v>22490.7</v>
      </c>
      <c r="IM11" s="98">
        <f t="shared" si="32"/>
        <v>174543.2</v>
      </c>
      <c r="IN11" s="98">
        <f t="shared" si="32"/>
        <v>2456.9</v>
      </c>
      <c r="IO11" s="98">
        <f t="shared" ref="IO11:JT11" si="33">SUM(IO12:IO24)</f>
        <v>21808.9</v>
      </c>
      <c r="IP11" s="98">
        <f t="shared" si="33"/>
        <v>20</v>
      </c>
      <c r="IQ11" s="98">
        <f t="shared" si="33"/>
        <v>3342.8</v>
      </c>
      <c r="IR11" s="98">
        <f t="shared" si="33"/>
        <v>33411892</v>
      </c>
      <c r="IS11" s="98">
        <f t="shared" si="33"/>
        <v>3228.9</v>
      </c>
      <c r="IT11" s="98">
        <f t="shared" si="33"/>
        <v>158350</v>
      </c>
      <c r="IU11" s="98">
        <f t="shared" si="33"/>
        <v>1515341.4</v>
      </c>
      <c r="IV11" s="98">
        <f t="shared" si="33"/>
        <v>1260638</v>
      </c>
      <c r="IW11" s="98">
        <f t="shared" si="33"/>
        <v>0.1</v>
      </c>
      <c r="IX11" s="98">
        <f t="shared" si="33"/>
        <v>119341</v>
      </c>
      <c r="IY11" s="98">
        <f t="shared" si="33"/>
        <v>594847</v>
      </c>
      <c r="IZ11" s="98">
        <f t="shared" si="33"/>
        <v>106.8</v>
      </c>
      <c r="JA11" s="98">
        <f t="shared" si="33"/>
        <v>3897.7</v>
      </c>
      <c r="JB11" s="98">
        <f t="shared" si="33"/>
        <v>68546.5</v>
      </c>
      <c r="JC11" s="98">
        <f t="shared" si="33"/>
        <v>40836.300000000003</v>
      </c>
      <c r="JD11" s="98">
        <f t="shared" si="33"/>
        <v>67275.900000000009</v>
      </c>
      <c r="JE11" s="98">
        <f t="shared" si="33"/>
        <v>55778.400000000001</v>
      </c>
      <c r="JF11" s="98">
        <f t="shared" si="33"/>
        <v>93753</v>
      </c>
      <c r="JG11" s="98">
        <f t="shared" si="33"/>
        <v>307359.59999999998</v>
      </c>
      <c r="JH11" s="98">
        <f t="shared" si="33"/>
        <v>20489.600000000002</v>
      </c>
      <c r="JI11" s="98">
        <f t="shared" si="33"/>
        <v>38858.400000000001</v>
      </c>
      <c r="JJ11" s="98">
        <f t="shared" si="33"/>
        <v>11023.4</v>
      </c>
      <c r="JK11" s="98">
        <f t="shared" si="33"/>
        <v>38206.100000000006</v>
      </c>
      <c r="JL11" s="98">
        <f t="shared" si="33"/>
        <v>24968.3</v>
      </c>
      <c r="JM11" s="98">
        <f t="shared" si="33"/>
        <v>53269.3</v>
      </c>
      <c r="JN11" s="98">
        <f t="shared" si="33"/>
        <v>5688.5</v>
      </c>
      <c r="JO11" s="98">
        <f t="shared" si="33"/>
        <v>3339.1</v>
      </c>
      <c r="JP11" s="98">
        <f t="shared" si="33"/>
        <v>9454.1</v>
      </c>
      <c r="JQ11" s="98">
        <f t="shared" si="33"/>
        <v>12347.9</v>
      </c>
      <c r="JR11" s="98">
        <f t="shared" si="33"/>
        <v>19023.599999999999</v>
      </c>
      <c r="JS11" s="98">
        <f t="shared" si="33"/>
        <v>13508.7</v>
      </c>
      <c r="JT11" s="98">
        <f t="shared" si="33"/>
        <v>242824.3</v>
      </c>
      <c r="JU11" s="98">
        <f t="shared" ref="JU11:KZ11" si="34">SUM(JU12:JU24)</f>
        <v>60270.899999999994</v>
      </c>
      <c r="JV11" s="98">
        <f t="shared" si="34"/>
        <v>38363.4</v>
      </c>
      <c r="JW11" s="98">
        <f t="shared" si="34"/>
        <v>3598.3</v>
      </c>
      <c r="JX11" s="98">
        <f t="shared" si="34"/>
        <v>17321.7</v>
      </c>
      <c r="JY11" s="98">
        <f t="shared" si="34"/>
        <v>1685.1</v>
      </c>
      <c r="JZ11" s="98">
        <f t="shared" si="34"/>
        <v>1152565.4000000001</v>
      </c>
      <c r="KA11" s="98">
        <f t="shared" si="34"/>
        <v>33464</v>
      </c>
      <c r="KB11" s="98">
        <f t="shared" si="34"/>
        <v>13346.8</v>
      </c>
      <c r="KC11" s="98">
        <f t="shared" si="34"/>
        <v>41083.399999999994</v>
      </c>
      <c r="KD11" s="98">
        <f t="shared" si="34"/>
        <v>30176.5</v>
      </c>
      <c r="KE11" s="98">
        <f t="shared" si="34"/>
        <v>5694</v>
      </c>
      <c r="KF11" s="98">
        <f t="shared" si="34"/>
        <v>14624.3</v>
      </c>
      <c r="KG11" s="98">
        <f t="shared" si="34"/>
        <v>50</v>
      </c>
      <c r="KH11" s="98">
        <f t="shared" si="34"/>
        <v>6409.9</v>
      </c>
      <c r="KI11" s="98">
        <f t="shared" si="34"/>
        <v>8642.4</v>
      </c>
      <c r="KJ11" s="98">
        <f t="shared" si="34"/>
        <v>28311134.099999998</v>
      </c>
      <c r="KK11" s="98">
        <f t="shared" si="34"/>
        <v>748</v>
      </c>
      <c r="KL11" s="98">
        <f t="shared" si="34"/>
        <v>10081</v>
      </c>
      <c r="KM11" s="98">
        <f t="shared" si="34"/>
        <v>1024</v>
      </c>
      <c r="KN11" s="98">
        <f t="shared" si="34"/>
        <v>66491.199999999997</v>
      </c>
      <c r="KO11" s="98">
        <f t="shared" si="34"/>
        <v>689.6</v>
      </c>
      <c r="KP11" s="98">
        <f t="shared" si="34"/>
        <v>47877.3</v>
      </c>
      <c r="KQ11" s="98">
        <f t="shared" si="34"/>
        <v>32217.200000000004</v>
      </c>
      <c r="KR11" s="98">
        <f t="shared" si="34"/>
        <v>1598429.5</v>
      </c>
      <c r="KS11" s="98">
        <f t="shared" si="34"/>
        <v>182805.5</v>
      </c>
      <c r="KT11" s="98">
        <f t="shared" si="34"/>
        <v>23499.1</v>
      </c>
      <c r="KU11" s="98">
        <f t="shared" si="34"/>
        <v>890974.3</v>
      </c>
      <c r="KV11" s="98">
        <f t="shared" si="34"/>
        <v>52327.899999999994</v>
      </c>
      <c r="KW11" s="98">
        <f t="shared" si="34"/>
        <v>84.9</v>
      </c>
      <c r="KX11" s="98">
        <f t="shared" si="34"/>
        <v>1406522</v>
      </c>
      <c r="KY11" s="98">
        <f t="shared" si="34"/>
        <v>198978.40000000002</v>
      </c>
      <c r="KZ11" s="98">
        <f t="shared" si="34"/>
        <v>36672.1</v>
      </c>
      <c r="LA11" s="98">
        <f t="shared" ref="LA11:OT11" si="35">SUM(LA12:LA24)</f>
        <v>26341.600000000002</v>
      </c>
      <c r="LB11" s="98">
        <f t="shared" si="35"/>
        <v>9266.7999999999993</v>
      </c>
      <c r="LC11" s="98">
        <f t="shared" ref="LC11:LJ11" si="36">SUM(LC12:LC24)</f>
        <v>67210.2</v>
      </c>
      <c r="LD11" s="98">
        <f t="shared" si="36"/>
        <v>27468.9</v>
      </c>
      <c r="LE11" s="98">
        <f t="shared" si="36"/>
        <v>23181.1</v>
      </c>
      <c r="LF11" s="98">
        <f t="shared" si="36"/>
        <v>14422.7</v>
      </c>
      <c r="LG11" s="98">
        <f t="shared" si="36"/>
        <v>1762.4</v>
      </c>
      <c r="LH11" s="98">
        <f t="shared" si="36"/>
        <v>190778.5</v>
      </c>
      <c r="LI11" s="98">
        <f t="shared" si="36"/>
        <v>45182.5</v>
      </c>
      <c r="LJ11" s="98">
        <f t="shared" si="36"/>
        <v>8124.9</v>
      </c>
      <c r="LK11" s="98">
        <f t="shared" ref="LK11:LQ11" si="37">SUM(LK12:LK24)</f>
        <v>26974.9</v>
      </c>
      <c r="LL11" s="98">
        <f t="shared" si="37"/>
        <v>79083.600000000006</v>
      </c>
      <c r="LM11" s="98">
        <f>SUM(LM12:LM24)</f>
        <v>44156.800000000003</v>
      </c>
      <c r="LN11" s="98">
        <f>SUM(LN12:LN24)</f>
        <v>6222.7</v>
      </c>
      <c r="LO11" s="98">
        <f t="shared" si="37"/>
        <v>16011.9</v>
      </c>
      <c r="LP11" s="98">
        <f t="shared" si="37"/>
        <v>25052.399999999998</v>
      </c>
      <c r="LQ11" s="98">
        <f t="shared" si="37"/>
        <v>151663.69999999998</v>
      </c>
      <c r="LR11" s="98">
        <f t="shared" ref="LR11:MW11" si="38">SUM(LR12:LR24)</f>
        <v>7922.3</v>
      </c>
      <c r="LS11" s="98">
        <f t="shared" si="38"/>
        <v>14145.5</v>
      </c>
      <c r="LT11" s="98">
        <f t="shared" si="38"/>
        <v>19153.3</v>
      </c>
      <c r="LU11" s="98">
        <f t="shared" si="38"/>
        <v>1087</v>
      </c>
      <c r="LV11" s="98">
        <f t="shared" si="38"/>
        <v>1316967.2</v>
      </c>
      <c r="LW11" s="98">
        <f t="shared" si="38"/>
        <v>59944.399999999994</v>
      </c>
      <c r="LX11" s="98">
        <f t="shared" si="38"/>
        <v>23705.599999999999</v>
      </c>
      <c r="LY11" s="98">
        <f t="shared" si="38"/>
        <v>2599.5</v>
      </c>
      <c r="LZ11" s="98">
        <f t="shared" si="38"/>
        <v>2700.9</v>
      </c>
      <c r="MA11" s="98">
        <f t="shared" si="38"/>
        <v>9623.9</v>
      </c>
      <c r="MB11" s="98">
        <f t="shared" si="38"/>
        <v>9325.6</v>
      </c>
      <c r="MC11" s="98">
        <f t="shared" si="38"/>
        <v>2136.9</v>
      </c>
      <c r="MD11" s="98">
        <f t="shared" si="38"/>
        <v>38179.5</v>
      </c>
      <c r="ME11" s="98">
        <f t="shared" si="38"/>
        <v>12914.9</v>
      </c>
      <c r="MF11" s="98">
        <f t="shared" si="38"/>
        <v>141731.70000000001</v>
      </c>
      <c r="MG11" s="98">
        <f t="shared" si="38"/>
        <v>719.2</v>
      </c>
      <c r="MH11" s="98">
        <f t="shared" si="38"/>
        <v>107386.8</v>
      </c>
      <c r="MI11" s="98">
        <f t="shared" si="38"/>
        <v>3634.2999999999997</v>
      </c>
      <c r="MJ11" s="98">
        <f t="shared" si="38"/>
        <v>43358.8</v>
      </c>
      <c r="MK11" s="98">
        <f t="shared" si="38"/>
        <v>21662.300000000003</v>
      </c>
      <c r="ML11" s="98">
        <f t="shared" si="38"/>
        <v>160078</v>
      </c>
      <c r="MM11" s="98">
        <f t="shared" si="38"/>
        <v>33176.600000000006</v>
      </c>
      <c r="MN11" s="98">
        <f t="shared" si="38"/>
        <v>11507.3</v>
      </c>
      <c r="MO11" s="98">
        <f t="shared" si="38"/>
        <v>2435.6999999999998</v>
      </c>
      <c r="MP11" s="98">
        <f t="shared" si="38"/>
        <v>1437</v>
      </c>
      <c r="MQ11" s="98">
        <f t="shared" si="38"/>
        <v>98085</v>
      </c>
      <c r="MR11" s="98">
        <f t="shared" si="38"/>
        <v>573</v>
      </c>
      <c r="MS11" s="98">
        <f t="shared" si="38"/>
        <v>112686.79999999999</v>
      </c>
      <c r="MT11" s="98">
        <f t="shared" si="38"/>
        <v>2479.7999999999997</v>
      </c>
      <c r="MU11" s="98">
        <f t="shared" si="38"/>
        <v>11801</v>
      </c>
      <c r="MV11" s="98">
        <f t="shared" si="38"/>
        <v>1047</v>
      </c>
      <c r="MW11" s="98">
        <f t="shared" si="38"/>
        <v>13816.2</v>
      </c>
      <c r="MX11" s="98">
        <f t="shared" ref="MX11:OC11" si="39">SUM(MX12:MX24)</f>
        <v>3989.6</v>
      </c>
      <c r="MY11" s="98">
        <f t="shared" si="39"/>
        <v>9577</v>
      </c>
      <c r="MZ11" s="98">
        <f t="shared" si="39"/>
        <v>7500</v>
      </c>
      <c r="NA11" s="98">
        <f t="shared" si="39"/>
        <v>82297.8</v>
      </c>
      <c r="NB11" s="98">
        <f t="shared" si="39"/>
        <v>35187.9</v>
      </c>
      <c r="NC11" s="98">
        <f t="shared" si="39"/>
        <v>8427.2999999999993</v>
      </c>
      <c r="ND11" s="98">
        <f t="shared" si="39"/>
        <v>1997.7</v>
      </c>
      <c r="NE11" s="98">
        <f t="shared" si="39"/>
        <v>18151.3</v>
      </c>
      <c r="NF11" s="98">
        <f t="shared" si="39"/>
        <v>55177.3</v>
      </c>
      <c r="NG11" s="98">
        <f t="shared" si="39"/>
        <v>138865.79999999999</v>
      </c>
      <c r="NH11" s="98">
        <f t="shared" si="39"/>
        <v>42796</v>
      </c>
      <c r="NI11" s="98">
        <f t="shared" si="39"/>
        <v>16952.099999999999</v>
      </c>
      <c r="NJ11" s="98">
        <f t="shared" si="39"/>
        <v>0</v>
      </c>
      <c r="NK11" s="98">
        <f t="shared" si="39"/>
        <v>18061.199999999997</v>
      </c>
      <c r="NL11" s="98">
        <f t="shared" si="39"/>
        <v>165485.80000000002</v>
      </c>
      <c r="NM11" s="98">
        <f t="shared" si="39"/>
        <v>468680.80000000005</v>
      </c>
      <c r="NN11" s="98">
        <f t="shared" si="39"/>
        <v>347410.10000000003</v>
      </c>
      <c r="NO11" s="98">
        <f t="shared" si="39"/>
        <v>0</v>
      </c>
      <c r="NP11" s="98">
        <f t="shared" si="39"/>
        <v>2538.5</v>
      </c>
      <c r="NQ11" s="98">
        <f t="shared" si="39"/>
        <v>668.7</v>
      </c>
      <c r="NR11" s="98">
        <f t="shared" si="39"/>
        <v>13305.4</v>
      </c>
      <c r="NS11" s="98">
        <f t="shared" si="39"/>
        <v>55820.9</v>
      </c>
      <c r="NT11" s="98">
        <f t="shared" si="39"/>
        <v>17841.599999999999</v>
      </c>
      <c r="NU11" s="98">
        <f t="shared" si="39"/>
        <v>3837.2</v>
      </c>
      <c r="NV11" s="98">
        <f t="shared" si="39"/>
        <v>58059.8</v>
      </c>
      <c r="NW11" s="98">
        <f t="shared" si="39"/>
        <v>149.6</v>
      </c>
      <c r="NX11" s="98">
        <f t="shared" si="39"/>
        <v>14449</v>
      </c>
      <c r="NY11" s="98">
        <f t="shared" si="39"/>
        <v>8216</v>
      </c>
      <c r="NZ11" s="98">
        <f t="shared" si="39"/>
        <v>6151.5</v>
      </c>
      <c r="OA11" s="98">
        <f t="shared" si="39"/>
        <v>4801.3999999999996</v>
      </c>
      <c r="OB11" s="98">
        <f t="shared" si="39"/>
        <v>17358.900000000001</v>
      </c>
      <c r="OC11" s="98">
        <f t="shared" si="39"/>
        <v>267539.20000000001</v>
      </c>
      <c r="OD11" s="98">
        <f t="shared" ref="OD11:OG11" si="40">SUM(OD12:OD24)</f>
        <v>2073.9</v>
      </c>
      <c r="OE11" s="98">
        <f t="shared" si="40"/>
        <v>0</v>
      </c>
      <c r="OF11" s="98">
        <f t="shared" si="40"/>
        <v>53677</v>
      </c>
      <c r="OG11" s="98">
        <f t="shared" si="40"/>
        <v>33072.1</v>
      </c>
      <c r="OH11" s="98">
        <f t="shared" si="35"/>
        <v>5497.9</v>
      </c>
      <c r="OI11" s="98">
        <f t="shared" si="35"/>
        <v>37604</v>
      </c>
      <c r="OJ11" s="98">
        <f>SUM(OJ12:OJ24)</f>
        <v>136832.20000000001</v>
      </c>
      <c r="OK11" s="98">
        <f>SUM(OK12:OK24)</f>
        <v>43949</v>
      </c>
      <c r="OL11" s="98">
        <f t="shared" si="35"/>
        <v>114693.3</v>
      </c>
      <c r="OM11" s="98">
        <f t="shared" si="35"/>
        <v>1517521.8</v>
      </c>
      <c r="ON11" s="98">
        <f>SUM(ON12:ON24)</f>
        <v>1282.2</v>
      </c>
      <c r="OO11" s="98">
        <f t="shared" si="35"/>
        <v>3127.4</v>
      </c>
      <c r="OP11" s="98">
        <f t="shared" si="35"/>
        <v>7577.5</v>
      </c>
      <c r="OQ11" s="98">
        <f t="shared" si="35"/>
        <v>7501.4000000000005</v>
      </c>
      <c r="OR11" s="98">
        <f t="shared" si="35"/>
        <v>9234.6999999999989</v>
      </c>
      <c r="OS11" s="98">
        <f t="shared" si="35"/>
        <v>493639.3</v>
      </c>
      <c r="OT11" s="98">
        <f t="shared" si="35"/>
        <v>73455.700000000012</v>
      </c>
      <c r="OU11" s="98">
        <f t="shared" si="29"/>
        <v>11185.6</v>
      </c>
      <c r="OV11" s="98">
        <f t="shared" si="29"/>
        <v>615.6</v>
      </c>
      <c r="OW11" s="98">
        <f t="shared" ref="OW11:PH11" si="41">SUM(OW12:OW24)</f>
        <v>0</v>
      </c>
      <c r="OX11" s="98">
        <f t="shared" si="41"/>
        <v>2828.4</v>
      </c>
      <c r="OY11" s="98">
        <f t="shared" si="41"/>
        <v>0</v>
      </c>
      <c r="OZ11" s="98">
        <f t="shared" si="41"/>
        <v>33636932.299999997</v>
      </c>
      <c r="PA11" s="98">
        <f t="shared" si="41"/>
        <v>41024.300000000003</v>
      </c>
      <c r="PB11" s="98">
        <f>SUM(PB12:PB24)</f>
        <v>92630.3</v>
      </c>
      <c r="PC11" s="98">
        <f t="shared" si="41"/>
        <v>2702</v>
      </c>
      <c r="PD11" s="98">
        <f>SUM(PD12:PD24)</f>
        <v>32953.5</v>
      </c>
      <c r="PE11" s="98">
        <f t="shared" si="41"/>
        <v>4976.1000000000004</v>
      </c>
      <c r="PF11" s="98">
        <f t="shared" si="41"/>
        <v>3529.5</v>
      </c>
      <c r="PG11" s="98">
        <f t="shared" si="41"/>
        <v>2551824.1</v>
      </c>
      <c r="PH11" s="98">
        <f t="shared" si="41"/>
        <v>14683.499999999998</v>
      </c>
      <c r="PI11" s="98">
        <f>SUM(PI12:PI24)</f>
        <v>36288.6</v>
      </c>
      <c r="PJ11" s="98">
        <f t="shared" ref="PJ11:QC11" si="42">SUM(PJ12:PJ24)</f>
        <v>75265.100000000006</v>
      </c>
      <c r="PK11" s="98">
        <f t="shared" si="42"/>
        <v>549.29999999999995</v>
      </c>
      <c r="PL11" s="98">
        <f t="shared" si="42"/>
        <v>754.4</v>
      </c>
      <c r="PM11" s="98">
        <f t="shared" si="42"/>
        <v>1016.4</v>
      </c>
      <c r="PN11" s="98">
        <f t="shared" ref="PN11:PS11" si="43">SUM(PN12:PN24)</f>
        <v>18001.599999999999</v>
      </c>
      <c r="PO11" s="98">
        <f t="shared" si="43"/>
        <v>8213.4</v>
      </c>
      <c r="PP11" s="98">
        <f t="shared" si="43"/>
        <v>5688.4</v>
      </c>
      <c r="PQ11" s="98">
        <f t="shared" si="43"/>
        <v>10835.8</v>
      </c>
      <c r="PR11" s="98">
        <f t="shared" si="43"/>
        <v>15673.8</v>
      </c>
      <c r="PS11" s="98">
        <f t="shared" si="43"/>
        <v>42349.9</v>
      </c>
      <c r="PT11" s="98">
        <f t="shared" si="42"/>
        <v>712.69999999999993</v>
      </c>
      <c r="PU11" s="98">
        <f>SUM(PU12:PU24)</f>
        <v>17883.2</v>
      </c>
      <c r="PV11" s="98">
        <f t="shared" si="42"/>
        <v>10869.7</v>
      </c>
      <c r="PW11" s="98">
        <f>SUM(PW12:PW24)</f>
        <v>366465.69999999995</v>
      </c>
      <c r="PX11" s="98">
        <f>SUM(PX12:PX24)</f>
        <v>5742.4</v>
      </c>
      <c r="PY11" s="98">
        <f>SUM(PY12:PY24)</f>
        <v>0</v>
      </c>
      <c r="PZ11" s="98">
        <f>SUM(PZ12:PZ24)</f>
        <v>1224.2</v>
      </c>
      <c r="QA11" s="98">
        <f>SUM(QA12:QA24)</f>
        <v>935289.79999999993</v>
      </c>
      <c r="QB11" s="98">
        <f t="shared" si="42"/>
        <v>1673.1999999999998</v>
      </c>
      <c r="QC11" s="98">
        <f t="shared" si="42"/>
        <v>15594.9</v>
      </c>
      <c r="QD11" s="98">
        <f>SUM(QD12:QD24)</f>
        <v>229184</v>
      </c>
      <c r="QE11" s="98">
        <f t="shared" ref="QE11:QJ11" si="44">SUM(QE12:QE24)</f>
        <v>34212.800000000003</v>
      </c>
      <c r="QF11" s="98">
        <f t="shared" si="44"/>
        <v>24357.699999999997</v>
      </c>
      <c r="QG11" s="98">
        <f t="shared" si="44"/>
        <v>8829.1</v>
      </c>
      <c r="QH11" s="98">
        <f t="shared" si="44"/>
        <v>2379</v>
      </c>
      <c r="QI11" s="98">
        <f t="shared" si="44"/>
        <v>255273.3</v>
      </c>
      <c r="QJ11" s="98">
        <f t="shared" si="44"/>
        <v>100572</v>
      </c>
      <c r="QK11" s="98">
        <f>SUM(QK12:QK24)</f>
        <v>5787.1</v>
      </c>
      <c r="QL11" s="98">
        <f t="shared" ref="QL11:QM11" si="45">SUM(QL12:QL24)</f>
        <v>992.8</v>
      </c>
      <c r="QM11" s="98">
        <f t="shared" si="45"/>
        <v>17667</v>
      </c>
      <c r="QN11" s="98">
        <f>SUM(QN12:QN24)</f>
        <v>25633.199999999997</v>
      </c>
      <c r="QO11" s="98">
        <f>SUM(QO12:QO24)</f>
        <v>423657.1</v>
      </c>
      <c r="QP11" s="98">
        <f t="shared" ref="QP11" si="46">SUM(QP12:QP24)</f>
        <v>11117.1</v>
      </c>
      <c r="QQ11" s="98">
        <f>SUM(QQ12:QQ24)</f>
        <v>152487.4</v>
      </c>
      <c r="QR11" s="98">
        <f>SUM(QR12:QR24)</f>
        <v>230881.90000000002</v>
      </c>
      <c r="QS11" s="98">
        <f t="shared" ref="QS11:RM11" si="47">SUM(QS12:QS24)</f>
        <v>30972</v>
      </c>
      <c r="QT11" s="98">
        <f>SUM(QT12:QT24)</f>
        <v>115352</v>
      </c>
      <c r="QU11" s="98">
        <f>SUM(QU12:QU24)</f>
        <v>17512</v>
      </c>
      <c r="QV11" s="98">
        <f t="shared" si="47"/>
        <v>1300</v>
      </c>
      <c r="QW11" s="98">
        <f t="shared" si="47"/>
        <v>8000</v>
      </c>
      <c r="QX11" s="98">
        <f t="shared" si="47"/>
        <v>0</v>
      </c>
      <c r="QY11" s="98">
        <f t="shared" si="47"/>
        <v>3315.4</v>
      </c>
      <c r="QZ11" s="98">
        <f t="shared" si="47"/>
        <v>1470.5</v>
      </c>
      <c r="RA11" s="98">
        <f t="shared" si="47"/>
        <v>960</v>
      </c>
      <c r="RB11" s="98">
        <f t="shared" si="47"/>
        <v>3896.8</v>
      </c>
      <c r="RC11" s="98">
        <f t="shared" si="47"/>
        <v>679.8</v>
      </c>
      <c r="RD11" s="98">
        <f t="shared" si="47"/>
        <v>289</v>
      </c>
      <c r="RE11" s="98">
        <f>SUM(RE12:RE24)</f>
        <v>3461.2</v>
      </c>
      <c r="RF11" s="98">
        <f t="shared" si="47"/>
        <v>125392.4</v>
      </c>
      <c r="RG11" s="98">
        <f t="shared" si="47"/>
        <v>117296.4</v>
      </c>
      <c r="RH11" s="98">
        <f t="shared" si="47"/>
        <v>1386</v>
      </c>
      <c r="RI11" s="98">
        <f t="shared" si="47"/>
        <v>191.3</v>
      </c>
      <c r="RJ11" s="98">
        <f>SUM(RJ12:RJ24)</f>
        <v>1231.5</v>
      </c>
      <c r="RK11" s="98">
        <f t="shared" si="47"/>
        <v>58563.899999999994</v>
      </c>
      <c r="RL11" s="98">
        <f t="shared" si="47"/>
        <v>1265.5</v>
      </c>
      <c r="RM11" s="98">
        <f t="shared" si="47"/>
        <v>987.3</v>
      </c>
      <c r="RN11" s="98">
        <f>SUM(RN12:RN24)</f>
        <v>617.1</v>
      </c>
    </row>
    <row r="12" spans="1:482" s="60" customFormat="1" ht="11.25" customHeight="1" x14ac:dyDescent="0.2">
      <c r="A12" s="122" t="s">
        <v>733</v>
      </c>
      <c r="B12" s="176" t="s">
        <v>856</v>
      </c>
      <c r="C12" s="176"/>
      <c r="D12" s="116">
        <f t="shared" ref="D12:D24" si="48">SUM(E12:RN12)</f>
        <v>232013146.99999991</v>
      </c>
      <c r="E12" s="114">
        <v>1116</v>
      </c>
      <c r="F12" s="114">
        <v>280.60000000000002</v>
      </c>
      <c r="G12" s="114">
        <v>2369.8000000000002</v>
      </c>
      <c r="H12" s="114">
        <v>0</v>
      </c>
      <c r="I12" s="114">
        <v>2433.5</v>
      </c>
      <c r="J12" s="114">
        <v>22026460.800000001</v>
      </c>
      <c r="K12" s="114">
        <v>0</v>
      </c>
      <c r="L12" s="114">
        <v>34400</v>
      </c>
      <c r="M12" s="114">
        <v>0</v>
      </c>
      <c r="N12" s="114">
        <v>0</v>
      </c>
      <c r="O12" s="114">
        <v>955.3</v>
      </c>
      <c r="P12" s="114">
        <v>0</v>
      </c>
      <c r="Q12" s="114">
        <v>0</v>
      </c>
      <c r="R12" s="114">
        <v>145336.9</v>
      </c>
      <c r="S12" s="114">
        <v>185</v>
      </c>
      <c r="T12" s="114">
        <v>0</v>
      </c>
      <c r="U12" s="114">
        <v>0</v>
      </c>
      <c r="V12" s="114">
        <v>500</v>
      </c>
      <c r="W12" s="114">
        <v>200</v>
      </c>
      <c r="X12" s="114">
        <v>96792</v>
      </c>
      <c r="Y12" s="114">
        <v>37339.300000000003</v>
      </c>
      <c r="Z12" s="114">
        <v>0</v>
      </c>
      <c r="AA12" s="114">
        <v>0</v>
      </c>
      <c r="AB12" s="114">
        <v>150759.70000000001</v>
      </c>
      <c r="AC12" s="114">
        <v>494538.2</v>
      </c>
      <c r="AD12" s="114">
        <v>6794291.5999999996</v>
      </c>
      <c r="AE12" s="114">
        <v>54121344.100000001</v>
      </c>
      <c r="AF12" s="114">
        <v>0</v>
      </c>
      <c r="AG12" s="114">
        <v>0</v>
      </c>
      <c r="AH12" s="114">
        <v>17000.099999999999</v>
      </c>
      <c r="AI12" s="114">
        <v>11815.4</v>
      </c>
      <c r="AJ12" s="114">
        <v>28248925.699999999</v>
      </c>
      <c r="AK12" s="114">
        <v>57536652.399999999</v>
      </c>
      <c r="AL12" s="114">
        <v>10</v>
      </c>
      <c r="AM12" s="114">
        <v>190699.4</v>
      </c>
      <c r="AN12" s="114">
        <v>1401.8</v>
      </c>
      <c r="AO12" s="114">
        <v>7299.4</v>
      </c>
      <c r="AP12" s="114">
        <v>122133.4</v>
      </c>
      <c r="AQ12" s="114">
        <v>3034751.6</v>
      </c>
      <c r="AR12" s="114">
        <v>208753.5</v>
      </c>
      <c r="AS12" s="114">
        <v>6190.9</v>
      </c>
      <c r="AT12" s="114">
        <v>813038.5</v>
      </c>
      <c r="AU12" s="114">
        <v>28725.599999999999</v>
      </c>
      <c r="AV12" s="114">
        <v>9156526.5</v>
      </c>
      <c r="AW12" s="114">
        <v>1035730.2</v>
      </c>
      <c r="AX12" s="114">
        <v>20</v>
      </c>
      <c r="AY12" s="114"/>
      <c r="AZ12" s="114">
        <v>0</v>
      </c>
      <c r="BA12" s="114">
        <v>6165.8</v>
      </c>
      <c r="BB12" s="114">
        <v>10</v>
      </c>
      <c r="BC12" s="114">
        <v>907.2</v>
      </c>
      <c r="BD12" s="114">
        <v>640963.6</v>
      </c>
      <c r="BE12" s="114">
        <v>105786.9</v>
      </c>
      <c r="BF12" s="114">
        <v>221.3</v>
      </c>
      <c r="BG12" s="114">
        <v>0</v>
      </c>
      <c r="BH12" s="114">
        <v>16474.599999999999</v>
      </c>
      <c r="BI12" s="114">
        <v>43.1</v>
      </c>
      <c r="BJ12" s="114">
        <v>1000</v>
      </c>
      <c r="BK12" s="114" t="s">
        <v>918</v>
      </c>
      <c r="BL12" s="99">
        <v>0</v>
      </c>
      <c r="BM12" s="99">
        <v>500</v>
      </c>
      <c r="BN12" s="99">
        <v>10</v>
      </c>
      <c r="BO12" s="99">
        <v>238</v>
      </c>
      <c r="BP12" s="99">
        <v>5855.4000000000005</v>
      </c>
      <c r="BQ12" s="99">
        <v>17258.900000000001</v>
      </c>
      <c r="BR12" s="99">
        <v>390</v>
      </c>
      <c r="BS12" s="99">
        <v>5222.6000000000004</v>
      </c>
      <c r="BT12" s="99">
        <v>116.7</v>
      </c>
      <c r="BU12" s="99">
        <v>1087.5999999999999</v>
      </c>
      <c r="BV12" s="99">
        <v>0</v>
      </c>
      <c r="BW12" s="99">
        <v>5</v>
      </c>
      <c r="BX12" s="99">
        <v>5490.6</v>
      </c>
      <c r="BY12" s="99">
        <v>0</v>
      </c>
      <c r="BZ12" s="99">
        <v>0.1</v>
      </c>
      <c r="CA12" s="99">
        <v>0</v>
      </c>
      <c r="CB12" s="99">
        <v>100</v>
      </c>
      <c r="CC12" s="99">
        <v>7500</v>
      </c>
      <c r="CD12" s="99">
        <v>3570.6</v>
      </c>
      <c r="CE12" s="99">
        <v>20</v>
      </c>
      <c r="CF12" s="99">
        <v>100</v>
      </c>
      <c r="CG12" s="99">
        <v>0</v>
      </c>
      <c r="CH12" s="99">
        <v>5</v>
      </c>
      <c r="CI12" s="99">
        <v>0</v>
      </c>
      <c r="CJ12" s="99">
        <v>0</v>
      </c>
      <c r="CK12" s="99">
        <v>6575.5</v>
      </c>
      <c r="CL12" s="99">
        <v>0</v>
      </c>
      <c r="CM12" s="99">
        <v>28407.9</v>
      </c>
      <c r="CN12" s="99">
        <v>11025</v>
      </c>
      <c r="CO12" s="99">
        <v>25.400000000000002</v>
      </c>
      <c r="CP12" s="99">
        <v>0</v>
      </c>
      <c r="CQ12" s="99">
        <v>0</v>
      </c>
      <c r="CR12" s="99">
        <v>5</v>
      </c>
      <c r="CS12" s="99">
        <v>0</v>
      </c>
      <c r="CT12" s="99">
        <v>0.1</v>
      </c>
      <c r="CU12" s="99"/>
      <c r="CV12" s="99">
        <v>90</v>
      </c>
      <c r="CW12" s="99">
        <v>106173.3</v>
      </c>
      <c r="CX12" s="99">
        <v>10</v>
      </c>
      <c r="CY12" s="99">
        <v>1</v>
      </c>
      <c r="CZ12" s="99">
        <v>20000</v>
      </c>
      <c r="DA12" s="99">
        <v>4350</v>
      </c>
      <c r="DB12" s="99">
        <v>120</v>
      </c>
      <c r="DC12" s="99">
        <v>20</v>
      </c>
      <c r="DD12" s="99">
        <v>5</v>
      </c>
      <c r="DE12" s="99"/>
      <c r="DF12" s="99"/>
      <c r="DG12" s="99">
        <v>234.2</v>
      </c>
      <c r="DH12" s="99">
        <v>150</v>
      </c>
      <c r="DI12" s="99"/>
      <c r="DJ12" s="99">
        <v>34.200000000000003</v>
      </c>
      <c r="DK12" s="99"/>
      <c r="DL12" s="99">
        <v>430907.8</v>
      </c>
      <c r="DM12" s="103">
        <v>22848.3</v>
      </c>
      <c r="DN12" s="103">
        <v>7336.8</v>
      </c>
      <c r="DO12" s="99"/>
      <c r="DP12" s="99">
        <v>300</v>
      </c>
      <c r="DQ12" s="99"/>
      <c r="DR12" s="99">
        <v>173146.4</v>
      </c>
      <c r="DS12" s="99">
        <v>4899.5</v>
      </c>
      <c r="DT12" s="99"/>
      <c r="DU12" s="99">
        <f>3874.6+645.5</f>
        <v>4520.1000000000004</v>
      </c>
      <c r="DV12" s="99">
        <v>234406.8</v>
      </c>
      <c r="DW12" s="99">
        <v>63845.8</v>
      </c>
      <c r="DX12" s="99"/>
      <c r="DY12" s="99">
        <v>600</v>
      </c>
      <c r="DZ12" s="99">
        <v>10</v>
      </c>
      <c r="EA12" s="99">
        <v>10</v>
      </c>
      <c r="EB12" s="99">
        <v>182.7</v>
      </c>
      <c r="EC12" s="99"/>
      <c r="ED12" s="99"/>
      <c r="EE12" s="99">
        <v>5</v>
      </c>
      <c r="EF12" s="99">
        <v>10</v>
      </c>
      <c r="EG12" s="99">
        <v>13083.2</v>
      </c>
      <c r="EH12" s="99">
        <v>4481.7</v>
      </c>
      <c r="EI12" s="99">
        <v>592394.4</v>
      </c>
      <c r="EJ12" s="99">
        <v>80</v>
      </c>
      <c r="EK12" s="99">
        <v>0.1</v>
      </c>
      <c r="EL12" s="99">
        <v>0</v>
      </c>
      <c r="EM12" s="99">
        <v>6.9</v>
      </c>
      <c r="EN12" s="99">
        <v>10</v>
      </c>
      <c r="EO12" s="99">
        <v>19806.8</v>
      </c>
      <c r="EP12" s="99">
        <v>10</v>
      </c>
      <c r="EQ12" s="99">
        <v>0</v>
      </c>
      <c r="ER12" s="99">
        <v>32628.600000000002</v>
      </c>
      <c r="ES12" s="99">
        <v>16845.8</v>
      </c>
      <c r="ET12" s="99">
        <v>10</v>
      </c>
      <c r="EU12" s="99"/>
      <c r="EV12" s="99"/>
      <c r="EW12" s="99">
        <v>73.2</v>
      </c>
      <c r="EX12" s="99">
        <v>0</v>
      </c>
      <c r="EY12" s="99">
        <v>127.2</v>
      </c>
      <c r="EZ12" s="99">
        <v>79.400000000000006</v>
      </c>
      <c r="FA12" s="99">
        <v>0</v>
      </c>
      <c r="FB12" s="99">
        <v>64.7</v>
      </c>
      <c r="FC12" s="99">
        <v>5</v>
      </c>
      <c r="FD12" s="99">
        <v>11000</v>
      </c>
      <c r="FE12" s="99">
        <v>0</v>
      </c>
      <c r="FF12" s="99">
        <v>10361.1</v>
      </c>
      <c r="FG12" s="99">
        <v>10342</v>
      </c>
      <c r="FH12" s="99">
        <v>0.3</v>
      </c>
      <c r="FI12" s="99">
        <v>1279.8</v>
      </c>
      <c r="FJ12" s="99">
        <v>0</v>
      </c>
      <c r="FK12" s="99">
        <v>0</v>
      </c>
      <c r="FL12" s="99">
        <v>15</v>
      </c>
      <c r="FM12" s="99">
        <v>251.70000000000002</v>
      </c>
      <c r="FN12" s="99">
        <v>0</v>
      </c>
      <c r="FO12" s="99">
        <v>1104.8</v>
      </c>
      <c r="FP12" s="99">
        <v>8186.1</v>
      </c>
      <c r="FQ12" s="99">
        <v>0</v>
      </c>
      <c r="FR12" s="99">
        <v>81.3</v>
      </c>
      <c r="FS12" s="99">
        <v>223.5</v>
      </c>
      <c r="FT12" s="99">
        <v>17452.3</v>
      </c>
      <c r="FU12" s="99">
        <v>30</v>
      </c>
      <c r="FV12" s="99">
        <v>0</v>
      </c>
      <c r="FW12" s="99">
        <v>300</v>
      </c>
      <c r="FX12" s="99">
        <v>10</v>
      </c>
      <c r="FY12" s="99">
        <v>20</v>
      </c>
      <c r="FZ12" s="99">
        <v>0</v>
      </c>
      <c r="GA12" s="99">
        <v>10</v>
      </c>
      <c r="GB12" s="99">
        <v>67629.7</v>
      </c>
      <c r="GC12" s="99"/>
      <c r="GD12" s="99">
        <v>400</v>
      </c>
      <c r="GE12" s="99"/>
      <c r="GF12" s="99">
        <v>600</v>
      </c>
      <c r="GG12" s="99"/>
      <c r="GH12" s="99">
        <v>24336</v>
      </c>
      <c r="GI12" s="99">
        <v>325981.2</v>
      </c>
      <c r="GJ12" s="99">
        <v>250</v>
      </c>
      <c r="GK12" s="99">
        <v>52.2</v>
      </c>
      <c r="GL12" s="99"/>
      <c r="GM12" s="99"/>
      <c r="GN12" s="99">
        <v>100</v>
      </c>
      <c r="GO12" s="99">
        <v>33596.1</v>
      </c>
      <c r="GP12" s="99">
        <v>20</v>
      </c>
      <c r="GQ12" s="99">
        <v>20</v>
      </c>
      <c r="GR12" s="99">
        <v>600</v>
      </c>
      <c r="GS12" s="99">
        <v>50</v>
      </c>
      <c r="GT12" s="99">
        <v>0</v>
      </c>
      <c r="GU12" s="99">
        <v>38</v>
      </c>
      <c r="GV12" s="99">
        <v>4142.7</v>
      </c>
      <c r="GW12" s="99">
        <v>0</v>
      </c>
      <c r="GX12" s="99">
        <v>10</v>
      </c>
      <c r="GY12" s="99">
        <v>0</v>
      </c>
      <c r="GZ12" s="99">
        <v>1</v>
      </c>
      <c r="HA12" s="99">
        <v>10821.9</v>
      </c>
      <c r="HB12" s="99">
        <v>1030.7</v>
      </c>
      <c r="HC12" s="99"/>
      <c r="HD12" s="99"/>
      <c r="HE12" s="99">
        <v>13235.9</v>
      </c>
      <c r="HF12" s="99">
        <v>20</v>
      </c>
      <c r="HG12" s="99">
        <v>1987.8</v>
      </c>
      <c r="HH12" s="99">
        <v>30869.8</v>
      </c>
      <c r="HI12" s="99">
        <v>0</v>
      </c>
      <c r="HJ12" s="99">
        <v>3600</v>
      </c>
      <c r="HK12" s="99">
        <v>10</v>
      </c>
      <c r="HL12" s="99">
        <v>600</v>
      </c>
      <c r="HM12" s="99">
        <v>13882.8</v>
      </c>
      <c r="HN12" s="99">
        <v>4365.7</v>
      </c>
      <c r="HO12" s="99"/>
      <c r="HP12" s="99"/>
      <c r="HQ12" s="99">
        <v>5</v>
      </c>
      <c r="HR12" s="99">
        <v>6010</v>
      </c>
      <c r="HS12" s="99">
        <v>688.7</v>
      </c>
      <c r="HT12" s="99">
        <v>5</v>
      </c>
      <c r="HU12" s="99">
        <v>250</v>
      </c>
      <c r="HV12" s="99">
        <v>3802.6</v>
      </c>
      <c r="HW12" s="99"/>
      <c r="HX12" s="99">
        <v>410</v>
      </c>
      <c r="HY12" s="99">
        <v>5</v>
      </c>
      <c r="HZ12" s="99">
        <v>0</v>
      </c>
      <c r="IA12" s="99">
        <v>0</v>
      </c>
      <c r="IB12" s="99">
        <v>0</v>
      </c>
      <c r="IC12" s="99">
        <v>0</v>
      </c>
      <c r="ID12" s="99">
        <v>0</v>
      </c>
      <c r="IE12" s="99">
        <v>500</v>
      </c>
      <c r="IF12" s="99">
        <v>10</v>
      </c>
      <c r="IG12" s="99">
        <v>0</v>
      </c>
      <c r="IH12" s="99">
        <v>13203.6</v>
      </c>
      <c r="II12" s="99">
        <v>3010</v>
      </c>
      <c r="IJ12" s="99">
        <v>0</v>
      </c>
      <c r="IK12" s="99">
        <v>56709.1</v>
      </c>
      <c r="IL12" s="99">
        <v>6236.2</v>
      </c>
      <c r="IM12" s="99">
        <v>8529.2999999999993</v>
      </c>
      <c r="IN12" s="99">
        <v>0</v>
      </c>
      <c r="IO12" s="99">
        <v>0</v>
      </c>
      <c r="IP12" s="99">
        <v>20</v>
      </c>
      <c r="IQ12" s="99">
        <v>50</v>
      </c>
      <c r="IR12" s="99">
        <v>6138906.2000000002</v>
      </c>
      <c r="IS12" s="99">
        <v>20</v>
      </c>
      <c r="IT12" s="99">
        <v>10413.300000000001</v>
      </c>
      <c r="IU12" s="99">
        <v>100000</v>
      </c>
      <c r="IV12" s="99"/>
      <c r="IW12" s="99">
        <v>0.1</v>
      </c>
      <c r="IX12" s="99">
        <v>3561.7000000000003</v>
      </c>
      <c r="IY12" s="99">
        <v>209749.1</v>
      </c>
      <c r="IZ12" s="99">
        <v>106.8</v>
      </c>
      <c r="JA12" s="99">
        <v>0</v>
      </c>
      <c r="JB12" s="99">
        <v>0</v>
      </c>
      <c r="JC12" s="99">
        <v>835</v>
      </c>
      <c r="JD12" s="103">
        <v>10</v>
      </c>
      <c r="JE12" s="99"/>
      <c r="JF12" s="99">
        <v>5</v>
      </c>
      <c r="JG12" s="103">
        <v>27134.3</v>
      </c>
      <c r="JH12" s="103">
        <v>10</v>
      </c>
      <c r="JI12" s="99">
        <v>1343.3</v>
      </c>
      <c r="JJ12" s="99">
        <v>50.6</v>
      </c>
      <c r="JK12" s="99">
        <v>200</v>
      </c>
      <c r="JL12" s="99"/>
      <c r="JM12" s="99"/>
      <c r="JN12" s="99"/>
      <c r="JO12" s="99">
        <v>15</v>
      </c>
      <c r="JP12" s="99"/>
      <c r="JQ12" s="99">
        <v>10</v>
      </c>
      <c r="JR12" s="99">
        <v>10</v>
      </c>
      <c r="JS12" s="99"/>
      <c r="JT12" s="99"/>
      <c r="JU12" s="99"/>
      <c r="JV12" s="99">
        <v>22880.5</v>
      </c>
      <c r="JW12" s="99"/>
      <c r="JX12" s="99">
        <v>5860.8</v>
      </c>
      <c r="JY12" s="99"/>
      <c r="JZ12" s="99">
        <v>141044.1</v>
      </c>
      <c r="KA12" s="99">
        <v>20</v>
      </c>
      <c r="KB12" s="99">
        <v>610</v>
      </c>
      <c r="KC12" s="99">
        <v>616.1</v>
      </c>
      <c r="KD12" s="99">
        <v>100</v>
      </c>
      <c r="KE12" s="99"/>
      <c r="KF12" s="99">
        <v>600</v>
      </c>
      <c r="KG12" s="99">
        <v>50</v>
      </c>
      <c r="KH12" s="99">
        <v>15</v>
      </c>
      <c r="KI12" s="99">
        <v>793.1</v>
      </c>
      <c r="KJ12" s="99">
        <v>13326097.9</v>
      </c>
      <c r="KK12" s="99">
        <v>2.8000000000000003</v>
      </c>
      <c r="KL12" s="99">
        <v>147</v>
      </c>
      <c r="KM12" s="99">
        <v>0</v>
      </c>
      <c r="KN12" s="99">
        <v>0</v>
      </c>
      <c r="KO12" s="99">
        <v>110</v>
      </c>
      <c r="KP12" s="99">
        <v>0</v>
      </c>
      <c r="KQ12" s="99">
        <v>234.9</v>
      </c>
      <c r="KR12" s="99">
        <v>8795.8000000000011</v>
      </c>
      <c r="KS12" s="99">
        <v>29511.8</v>
      </c>
      <c r="KT12" s="99">
        <v>10</v>
      </c>
      <c r="KU12" s="99">
        <v>2979.1</v>
      </c>
      <c r="KV12" s="99">
        <v>1761.6000000000001</v>
      </c>
      <c r="KW12" s="99">
        <v>10</v>
      </c>
      <c r="KX12" s="99">
        <v>50</v>
      </c>
      <c r="KY12" s="99">
        <v>0</v>
      </c>
      <c r="KZ12" s="99">
        <v>0</v>
      </c>
      <c r="LA12" s="99">
        <v>0</v>
      </c>
      <c r="LB12" s="99">
        <v>0</v>
      </c>
      <c r="LC12" s="99">
        <v>2200</v>
      </c>
      <c r="LD12" s="99"/>
      <c r="LE12" s="99"/>
      <c r="LF12" s="99"/>
      <c r="LG12" s="99"/>
      <c r="LH12" s="99">
        <v>1225</v>
      </c>
      <c r="LI12" s="99"/>
      <c r="LJ12" s="99">
        <v>100</v>
      </c>
      <c r="LK12" s="99">
        <v>20</v>
      </c>
      <c r="LL12" s="99"/>
      <c r="LM12" s="99">
        <v>20</v>
      </c>
      <c r="LN12" s="99"/>
      <c r="LO12" s="99"/>
      <c r="LP12" s="99">
        <v>12750.8</v>
      </c>
      <c r="LQ12" s="99"/>
      <c r="LR12" s="99"/>
      <c r="LS12" s="99">
        <v>10</v>
      </c>
      <c r="LT12" s="99"/>
      <c r="LU12" s="99">
        <v>20</v>
      </c>
      <c r="LV12" s="99">
        <v>15942.2</v>
      </c>
      <c r="LW12" s="99">
        <v>1000</v>
      </c>
      <c r="LX12" s="99">
        <v>50</v>
      </c>
      <c r="LY12" s="99">
        <v>44.5</v>
      </c>
      <c r="LZ12" s="99">
        <v>166.20000000000002</v>
      </c>
      <c r="MA12" s="99">
        <v>10</v>
      </c>
      <c r="MB12" s="99">
        <v>1473.9</v>
      </c>
      <c r="MC12" s="99">
        <v>1300</v>
      </c>
      <c r="MD12" s="99">
        <v>949.9</v>
      </c>
      <c r="ME12" s="99">
        <v>50</v>
      </c>
      <c r="MF12" s="99">
        <v>123373.2</v>
      </c>
      <c r="MG12" s="99">
        <v>5.2</v>
      </c>
      <c r="MH12" s="99">
        <v>9138.2000000000007</v>
      </c>
      <c r="MI12" s="99">
        <v>30</v>
      </c>
      <c r="MJ12" s="99">
        <v>2490</v>
      </c>
      <c r="MK12" s="99">
        <v>0</v>
      </c>
      <c r="ML12" s="99">
        <v>6500</v>
      </c>
      <c r="MM12" s="99">
        <v>0</v>
      </c>
      <c r="MN12" s="99">
        <v>3514.3</v>
      </c>
      <c r="MO12" s="99">
        <v>20</v>
      </c>
      <c r="MP12" s="99">
        <v>0</v>
      </c>
      <c r="MQ12" s="99">
        <v>84000</v>
      </c>
      <c r="MR12" s="99">
        <v>0</v>
      </c>
      <c r="MS12" s="99">
        <v>560.6</v>
      </c>
      <c r="MT12" s="99">
        <v>0</v>
      </c>
      <c r="MU12" s="99">
        <v>0</v>
      </c>
      <c r="MV12" s="99">
        <v>30</v>
      </c>
      <c r="MW12" s="99">
        <v>0</v>
      </c>
      <c r="MX12" s="99">
        <v>3989.6</v>
      </c>
      <c r="MY12" s="99">
        <v>210</v>
      </c>
      <c r="MZ12" s="99">
        <v>7500</v>
      </c>
      <c r="NA12" s="99">
        <v>2147.1</v>
      </c>
      <c r="NB12" s="99">
        <v>4724.1000000000004</v>
      </c>
      <c r="NC12" s="99"/>
      <c r="ND12" s="99"/>
      <c r="NE12" s="99"/>
      <c r="NF12" s="99">
        <v>22.5</v>
      </c>
      <c r="NG12" s="99">
        <v>42329.8</v>
      </c>
      <c r="NH12" s="99">
        <v>4294.1000000000004</v>
      </c>
      <c r="NI12" s="99">
        <v>465.1</v>
      </c>
      <c r="NJ12" s="99">
        <v>0</v>
      </c>
      <c r="NK12" s="99">
        <v>0</v>
      </c>
      <c r="NL12" s="99">
        <v>34807.4</v>
      </c>
      <c r="NM12" s="99">
        <v>1025.0999999999999</v>
      </c>
      <c r="NN12" s="99">
        <v>13195</v>
      </c>
      <c r="NO12" s="99">
        <v>0</v>
      </c>
      <c r="NP12" s="99">
        <v>1130</v>
      </c>
      <c r="NQ12" s="99"/>
      <c r="NR12" s="99">
        <v>400.7</v>
      </c>
      <c r="NS12" s="99">
        <v>300</v>
      </c>
      <c r="NT12" s="99">
        <v>10</v>
      </c>
      <c r="NU12" s="99"/>
      <c r="NV12" s="99">
        <v>450</v>
      </c>
      <c r="NW12" s="99">
        <v>0.1</v>
      </c>
      <c r="NX12" s="99">
        <v>0</v>
      </c>
      <c r="NY12" s="99">
        <v>0</v>
      </c>
      <c r="NZ12" s="99">
        <v>1390.6000000000001</v>
      </c>
      <c r="OA12" s="99">
        <v>0</v>
      </c>
      <c r="OB12" s="99"/>
      <c r="OC12" s="99">
        <v>11435.9</v>
      </c>
      <c r="OD12" s="99">
        <v>20</v>
      </c>
      <c r="OE12" s="99">
        <v>0</v>
      </c>
      <c r="OF12" s="99">
        <v>0</v>
      </c>
      <c r="OG12" s="99">
        <v>1169.1000000000001</v>
      </c>
      <c r="OH12" s="99">
        <v>0</v>
      </c>
      <c r="OI12" s="99">
        <v>20</v>
      </c>
      <c r="OJ12" s="99">
        <v>7433</v>
      </c>
      <c r="OK12" s="99">
        <v>15171.6</v>
      </c>
      <c r="OL12" s="99">
        <v>1000</v>
      </c>
      <c r="OM12" s="99">
        <v>143715.80000000002</v>
      </c>
      <c r="ON12" s="99">
        <v>350</v>
      </c>
      <c r="OO12" s="99">
        <v>0</v>
      </c>
      <c r="OP12" s="99">
        <v>402.7</v>
      </c>
      <c r="OQ12" s="99">
        <v>212</v>
      </c>
      <c r="OR12" s="99">
        <v>232.5</v>
      </c>
      <c r="OS12" s="99">
        <v>40298</v>
      </c>
      <c r="OT12" s="99">
        <v>0</v>
      </c>
      <c r="OU12" s="99">
        <v>10</v>
      </c>
      <c r="OV12" s="99">
        <v>185.5</v>
      </c>
      <c r="OW12" s="99">
        <v>0</v>
      </c>
      <c r="OX12" s="99">
        <v>34.300000000000004</v>
      </c>
      <c r="OY12" s="99">
        <v>0</v>
      </c>
      <c r="OZ12" s="99">
        <v>23229110.199999999</v>
      </c>
      <c r="PA12" s="99">
        <v>189.20000000000002</v>
      </c>
      <c r="PB12" s="99">
        <v>4605</v>
      </c>
      <c r="PC12" s="99">
        <v>33</v>
      </c>
      <c r="PD12" s="99">
        <v>641.70000000000005</v>
      </c>
      <c r="PE12" s="99">
        <v>828.5</v>
      </c>
      <c r="PF12" s="99">
        <v>10</v>
      </c>
      <c r="PG12" s="99">
        <v>129532.8</v>
      </c>
      <c r="PH12" s="99">
        <v>2600</v>
      </c>
      <c r="PI12" s="99">
        <v>0</v>
      </c>
      <c r="PJ12" s="99">
        <v>12446.9</v>
      </c>
      <c r="PK12" s="99">
        <v>5</v>
      </c>
      <c r="PL12" s="99">
        <v>33.4</v>
      </c>
      <c r="PM12" s="99">
        <v>0</v>
      </c>
      <c r="PN12" s="99">
        <v>0</v>
      </c>
      <c r="PO12" s="99">
        <v>100</v>
      </c>
      <c r="PP12" s="99">
        <v>1598.1000000000001</v>
      </c>
      <c r="PQ12" s="99">
        <v>915.7</v>
      </c>
      <c r="PR12" s="99">
        <v>5</v>
      </c>
      <c r="PS12" s="99">
        <v>47.2</v>
      </c>
      <c r="PT12" s="99">
        <v>100.3</v>
      </c>
      <c r="PU12" s="99">
        <v>2415.4</v>
      </c>
      <c r="PV12" s="99">
        <v>500</v>
      </c>
      <c r="PW12" s="99">
        <v>25500</v>
      </c>
      <c r="PX12" s="99">
        <v>2</v>
      </c>
      <c r="PY12" s="99">
        <v>0</v>
      </c>
      <c r="PZ12" s="99">
        <v>0</v>
      </c>
      <c r="QA12" s="99">
        <v>117084.5</v>
      </c>
      <c r="QB12" s="99">
        <v>1</v>
      </c>
      <c r="QC12" s="99">
        <v>672.9</v>
      </c>
      <c r="QD12" s="99">
        <v>0</v>
      </c>
      <c r="QE12" s="99">
        <v>11316.6</v>
      </c>
      <c r="QF12" s="99">
        <v>1.1000000000000001</v>
      </c>
      <c r="QG12" s="99">
        <v>10</v>
      </c>
      <c r="QH12" s="99">
        <v>90</v>
      </c>
      <c r="QI12" s="99">
        <v>80799.7</v>
      </c>
      <c r="QJ12" s="99">
        <v>510.6</v>
      </c>
      <c r="QK12" s="99">
        <v>0</v>
      </c>
      <c r="QL12" s="99">
        <v>1</v>
      </c>
      <c r="QM12" s="99">
        <v>71.599999999999994</v>
      </c>
      <c r="QN12" s="99">
        <v>1000</v>
      </c>
      <c r="QO12" s="99">
        <v>6529</v>
      </c>
      <c r="QP12" s="99">
        <v>50</v>
      </c>
      <c r="QQ12" s="99">
        <v>19307</v>
      </c>
      <c r="QR12" s="99">
        <v>3533.1</v>
      </c>
      <c r="QS12" s="99">
        <v>430</v>
      </c>
      <c r="QT12" s="99">
        <v>3377.9</v>
      </c>
      <c r="QU12" s="99"/>
      <c r="QV12" s="99"/>
      <c r="QW12" s="99"/>
      <c r="QX12" s="99"/>
      <c r="QY12" s="99"/>
      <c r="QZ12" s="99">
        <v>52.5</v>
      </c>
      <c r="RA12" s="99">
        <v>214.5</v>
      </c>
      <c r="RB12" s="99"/>
      <c r="RC12" s="99">
        <v>5</v>
      </c>
      <c r="RD12" s="99"/>
      <c r="RE12" s="99"/>
      <c r="RF12" s="99">
        <v>7172.4</v>
      </c>
      <c r="RG12" s="99">
        <v>60936.800000000003</v>
      </c>
      <c r="RH12" s="99"/>
      <c r="RI12" s="99"/>
      <c r="RJ12" s="99">
        <v>88.9</v>
      </c>
      <c r="RK12" s="99"/>
      <c r="RL12" s="99"/>
      <c r="RM12" s="99">
        <v>124.5</v>
      </c>
      <c r="RN12" s="99">
        <v>443.6</v>
      </c>
    </row>
    <row r="13" spans="1:482" s="60" customFormat="1" ht="11.25" customHeight="1" x14ac:dyDescent="0.2">
      <c r="A13" s="122" t="s">
        <v>734</v>
      </c>
      <c r="B13" s="175" t="s">
        <v>735</v>
      </c>
      <c r="C13" s="175"/>
      <c r="D13" s="115">
        <f t="shared" si="48"/>
        <v>24782721.800000004</v>
      </c>
      <c r="E13" s="114"/>
      <c r="F13" s="114"/>
      <c r="G13" s="114"/>
      <c r="H13" s="114">
        <v>75905.2</v>
      </c>
      <c r="I13" s="114"/>
      <c r="J13" s="114">
        <v>75469.100000000006</v>
      </c>
      <c r="K13" s="114">
        <v>11610.1</v>
      </c>
      <c r="L13" s="114">
        <v>705.5</v>
      </c>
      <c r="M13" s="114"/>
      <c r="N13" s="114"/>
      <c r="O13" s="114"/>
      <c r="P13" s="114">
        <v>53899.199999999997</v>
      </c>
      <c r="Q13" s="114"/>
      <c r="R13" s="114">
        <v>12048.1</v>
      </c>
      <c r="S13" s="114"/>
      <c r="T13" s="114"/>
      <c r="U13" s="114"/>
      <c r="V13" s="114"/>
      <c r="W13" s="114"/>
      <c r="X13" s="114">
        <v>239495.1</v>
      </c>
      <c r="Y13" s="114"/>
      <c r="Z13" s="114">
        <v>16195.2</v>
      </c>
      <c r="AA13" s="114"/>
      <c r="AB13" s="114"/>
      <c r="AC13" s="114">
        <v>54665.4</v>
      </c>
      <c r="AD13" s="114">
        <v>146945.1</v>
      </c>
      <c r="AE13" s="114">
        <f>5045275.6+1272829.4</f>
        <v>6318105</v>
      </c>
      <c r="AF13" s="114">
        <v>102369.5</v>
      </c>
      <c r="AG13" s="114"/>
      <c r="AH13" s="114"/>
      <c r="AI13" s="114"/>
      <c r="AJ13" s="114">
        <v>5334.4</v>
      </c>
      <c r="AK13" s="114">
        <f>356.9+1079406.8</f>
        <v>1079763.7</v>
      </c>
      <c r="AL13" s="114"/>
      <c r="AM13" s="114"/>
      <c r="AN13" s="114"/>
      <c r="AO13" s="114"/>
      <c r="AP13" s="114">
        <v>95831.8</v>
      </c>
      <c r="AQ13" s="114">
        <f>99484.5+1667.5</f>
        <v>101152</v>
      </c>
      <c r="AR13" s="114"/>
      <c r="AS13" s="114">
        <v>41.7</v>
      </c>
      <c r="AT13" s="114">
        <v>9206972.8000000007</v>
      </c>
      <c r="AU13" s="114"/>
      <c r="AV13" s="114"/>
      <c r="AW13" s="114"/>
      <c r="AX13" s="114"/>
      <c r="AY13" s="114"/>
      <c r="AZ13" s="114"/>
      <c r="BA13" s="114">
        <v>45815.6</v>
      </c>
      <c r="BB13" s="114">
        <v>601847.1</v>
      </c>
      <c r="BC13" s="114"/>
      <c r="BD13" s="114">
        <v>5974.2</v>
      </c>
      <c r="BE13" s="114">
        <v>50554.400000000001</v>
      </c>
      <c r="BF13" s="114"/>
      <c r="BG13" s="114"/>
      <c r="BH13" s="114"/>
      <c r="BI13" s="114"/>
      <c r="BJ13" s="114">
        <v>4621.8999999999996</v>
      </c>
      <c r="BK13" s="114" t="s">
        <v>919</v>
      </c>
      <c r="BL13" s="99"/>
      <c r="BM13" s="99"/>
      <c r="BN13" s="99"/>
      <c r="BO13" s="99"/>
      <c r="BP13" s="99">
        <v>571.6</v>
      </c>
      <c r="BQ13" s="99"/>
      <c r="BR13" s="99">
        <f>7857.5+564.1</f>
        <v>8421.6</v>
      </c>
      <c r="BS13" s="99"/>
      <c r="BT13" s="99"/>
      <c r="BU13" s="99"/>
      <c r="BV13" s="99"/>
      <c r="BW13" s="99"/>
      <c r="BX13" s="99"/>
      <c r="BY13" s="99"/>
      <c r="BZ13" s="99"/>
      <c r="CA13" s="99"/>
      <c r="CB13" s="99"/>
      <c r="CC13" s="99"/>
      <c r="CD13" s="99">
        <f>307.9+68.2</f>
        <v>376.09999999999997</v>
      </c>
      <c r="CE13" s="99"/>
      <c r="CF13" s="99"/>
      <c r="CG13" s="99"/>
      <c r="CH13" s="99">
        <f>3376.1+7334.1</f>
        <v>10710.2</v>
      </c>
      <c r="CI13" s="99"/>
      <c r="CJ13" s="99"/>
      <c r="CK13" s="99"/>
      <c r="CL13" s="99"/>
      <c r="CM13" s="99">
        <v>473.6</v>
      </c>
      <c r="CN13" s="99">
        <v>1359.3</v>
      </c>
      <c r="CO13" s="99">
        <v>38.700000000000003</v>
      </c>
      <c r="CP13" s="99">
        <v>1156.9000000000001</v>
      </c>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v>29409.8</v>
      </c>
      <c r="EF13" s="99"/>
      <c r="EG13" s="99"/>
      <c r="EH13" s="99"/>
      <c r="EI13" s="99"/>
      <c r="EJ13" s="99"/>
      <c r="EK13" s="99"/>
      <c r="EL13" s="99">
        <v>12569.6</v>
      </c>
      <c r="EM13" s="99"/>
      <c r="EN13" s="99"/>
      <c r="EO13" s="99"/>
      <c r="EP13" s="99"/>
      <c r="EQ13" s="99"/>
      <c r="ER13" s="99">
        <v>1045.9000000000001</v>
      </c>
      <c r="ES13" s="99"/>
      <c r="ET13" s="99"/>
      <c r="EU13" s="99"/>
      <c r="EV13" s="99"/>
      <c r="EW13" s="99"/>
      <c r="EX13" s="99"/>
      <c r="EY13" s="99"/>
      <c r="EZ13" s="99"/>
      <c r="FA13" s="99"/>
      <c r="FB13" s="99"/>
      <c r="FC13" s="99"/>
      <c r="FD13" s="99"/>
      <c r="FE13" s="99"/>
      <c r="FF13" s="99">
        <v>22044.3</v>
      </c>
      <c r="FG13" s="99"/>
      <c r="FH13" s="99"/>
      <c r="FI13" s="99"/>
      <c r="FJ13" s="99"/>
      <c r="FK13" s="99"/>
      <c r="FL13" s="99"/>
      <c r="FM13" s="100">
        <v>21948.5</v>
      </c>
      <c r="FN13" s="99"/>
      <c r="FO13" s="99"/>
      <c r="FP13" s="99">
        <v>142.19999999999999</v>
      </c>
      <c r="FQ13" s="99"/>
      <c r="FR13" s="99"/>
      <c r="FS13" s="99"/>
      <c r="FT13" s="99"/>
      <c r="FU13" s="99"/>
      <c r="FV13" s="99">
        <v>2443.4</v>
      </c>
      <c r="FW13" s="99"/>
      <c r="FX13" s="99"/>
      <c r="FY13" s="99"/>
      <c r="FZ13" s="99"/>
      <c r="GA13" s="99"/>
      <c r="GB13" s="99"/>
      <c r="GC13" s="99">
        <v>1403.3</v>
      </c>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v>6232.4</v>
      </c>
      <c r="HJ13" s="99"/>
      <c r="HK13" s="99"/>
      <c r="HL13" s="99"/>
      <c r="HM13" s="99"/>
      <c r="HN13" s="99"/>
      <c r="HO13" s="99"/>
      <c r="HP13" s="99"/>
      <c r="HQ13" s="99"/>
      <c r="HR13" s="99"/>
      <c r="HS13" s="99"/>
      <c r="HT13" s="99"/>
      <c r="HU13" s="99"/>
      <c r="HV13" s="99"/>
      <c r="HW13" s="99"/>
      <c r="HX13" s="99"/>
      <c r="HY13" s="99"/>
      <c r="HZ13" s="99"/>
      <c r="IA13" s="99">
        <v>11312.4</v>
      </c>
      <c r="IB13" s="99"/>
      <c r="IC13" s="99"/>
      <c r="ID13" s="99"/>
      <c r="IE13" s="99"/>
      <c r="IF13" s="99"/>
      <c r="IG13" s="99"/>
      <c r="IH13" s="99"/>
      <c r="II13" s="99"/>
      <c r="IJ13" s="99">
        <v>760.7</v>
      </c>
      <c r="IK13" s="99"/>
      <c r="IL13" s="99"/>
      <c r="IM13" s="99"/>
      <c r="IN13" s="99"/>
      <c r="IO13" s="99"/>
      <c r="IP13" s="99"/>
      <c r="IQ13" s="99"/>
      <c r="IR13" s="99">
        <v>5753208.7999999998</v>
      </c>
      <c r="IS13" s="99"/>
      <c r="IT13" s="99"/>
      <c r="IU13" s="99">
        <v>3121.9</v>
      </c>
      <c r="IV13" s="99"/>
      <c r="IW13" s="99"/>
      <c r="IX13" s="99">
        <v>24204.6</v>
      </c>
      <c r="IY13" s="99"/>
      <c r="IZ13" s="99"/>
      <c r="JA13" s="99"/>
      <c r="JB13" s="99"/>
      <c r="JC13" s="99">
        <v>4686.2</v>
      </c>
      <c r="JD13" s="99"/>
      <c r="JE13" s="99"/>
      <c r="JF13" s="99"/>
      <c r="JG13" s="99"/>
      <c r="JH13" s="99"/>
      <c r="JI13" s="99"/>
      <c r="JJ13" s="99"/>
      <c r="JK13" s="99"/>
      <c r="JL13" s="99"/>
      <c r="JM13" s="99"/>
      <c r="JN13" s="99"/>
      <c r="JO13" s="99"/>
      <c r="JP13" s="99"/>
      <c r="JQ13" s="99"/>
      <c r="JR13" s="99"/>
      <c r="JS13" s="99"/>
      <c r="JT13" s="99"/>
      <c r="JU13" s="99"/>
      <c r="JV13" s="99"/>
      <c r="JW13" s="99"/>
      <c r="JX13" s="99"/>
      <c r="JY13" s="99"/>
      <c r="JZ13" s="99">
        <v>10268.6</v>
      </c>
      <c r="KA13" s="99"/>
      <c r="KB13" s="99"/>
      <c r="KC13" s="99"/>
      <c r="KD13" s="99"/>
      <c r="KE13" s="99"/>
      <c r="KF13" s="99"/>
      <c r="KG13" s="99"/>
      <c r="KH13" s="99"/>
      <c r="KI13" s="99"/>
      <c r="KJ13" s="99"/>
      <c r="KK13" s="99"/>
      <c r="KL13" s="99"/>
      <c r="KM13" s="99"/>
      <c r="KN13" s="99"/>
      <c r="KO13" s="99"/>
      <c r="KP13" s="99">
        <v>6244.4</v>
      </c>
      <c r="KQ13" s="99"/>
      <c r="KR13" s="99">
        <v>29332.6</v>
      </c>
      <c r="KS13" s="99">
        <v>52.1</v>
      </c>
      <c r="KT13" s="99"/>
      <c r="KU13" s="99"/>
      <c r="KV13" s="99"/>
      <c r="KW13" s="99"/>
      <c r="KX13" s="99">
        <v>199391.1</v>
      </c>
      <c r="KY13" s="99"/>
      <c r="KZ13" s="99">
        <v>1248.8</v>
      </c>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99"/>
      <c r="NJ13" s="99"/>
      <c r="NK13" s="99">
        <v>1664.9</v>
      </c>
      <c r="NL13" s="99"/>
      <c r="NM13" s="99"/>
      <c r="NN13" s="99"/>
      <c r="NO13" s="99"/>
      <c r="NP13" s="99"/>
      <c r="NQ13" s="99"/>
      <c r="NR13" s="99"/>
      <c r="NS13" s="99"/>
      <c r="NT13" s="99"/>
      <c r="NU13" s="99"/>
      <c r="NV13" s="99"/>
      <c r="NW13" s="99"/>
      <c r="NX13" s="99"/>
      <c r="NY13" s="99"/>
      <c r="NZ13" s="99"/>
      <c r="OA13" s="99"/>
      <c r="OB13" s="99"/>
      <c r="OC13" s="99"/>
      <c r="OD13" s="99"/>
      <c r="OE13" s="99"/>
      <c r="OF13" s="99"/>
      <c r="OG13" s="99"/>
      <c r="OH13" s="99"/>
      <c r="OI13" s="99">
        <v>6177.6</v>
      </c>
      <c r="OJ13" s="99"/>
      <c r="OK13" s="99"/>
      <c r="OL13" s="99"/>
      <c r="OM13" s="99">
        <v>18365.099999999999</v>
      </c>
      <c r="ON13" s="99"/>
      <c r="OO13" s="99"/>
      <c r="OP13" s="99"/>
      <c r="OQ13" s="99"/>
      <c r="OR13" s="99"/>
      <c r="OS13" s="99">
        <f>1233.2+9797.8</f>
        <v>11031</v>
      </c>
      <c r="OT13" s="99"/>
      <c r="OU13" s="99"/>
      <c r="OV13" s="99"/>
      <c r="OW13" s="99"/>
      <c r="OX13" s="99"/>
      <c r="OY13" s="99"/>
      <c r="OZ13" s="99">
        <v>222319.8</v>
      </c>
      <c r="PA13" s="99"/>
      <c r="PB13" s="99"/>
      <c r="PC13" s="99"/>
      <c r="PD13" s="99"/>
      <c r="PE13" s="99"/>
      <c r="PF13" s="99"/>
      <c r="PG13" s="99">
        <v>30967.200000000001</v>
      </c>
      <c r="PH13" s="99">
        <v>181.7</v>
      </c>
      <c r="PI13" s="99"/>
      <c r="PJ13" s="99"/>
      <c r="PK13" s="99"/>
      <c r="PL13" s="99"/>
      <c r="PM13" s="99"/>
      <c r="PN13" s="99"/>
      <c r="PO13" s="99"/>
      <c r="PP13" s="99"/>
      <c r="PQ13" s="99"/>
      <c r="PR13" s="99"/>
      <c r="PS13" s="99"/>
      <c r="PT13" s="99"/>
      <c r="PU13" s="99">
        <v>692.3</v>
      </c>
      <c r="PV13" s="99"/>
      <c r="PW13" s="99">
        <v>12636.2</v>
      </c>
      <c r="PX13" s="99"/>
      <c r="PY13" s="99"/>
      <c r="PZ13" s="99"/>
      <c r="QA13" s="99">
        <v>190.2</v>
      </c>
      <c r="QB13" s="99">
        <v>33.1</v>
      </c>
      <c r="QC13" s="99"/>
      <c r="QD13" s="99"/>
      <c r="QE13" s="99">
        <v>406.1</v>
      </c>
      <c r="QF13" s="99"/>
      <c r="QG13" s="99"/>
      <c r="QH13" s="99"/>
      <c r="QI13" s="99">
        <v>8554.9</v>
      </c>
      <c r="QJ13" s="99"/>
      <c r="QK13" s="99"/>
      <c r="QL13" s="99"/>
      <c r="QM13" s="99"/>
      <c r="QN13" s="99"/>
      <c r="QO13" s="99"/>
      <c r="QP13" s="99"/>
      <c r="QQ13" s="99"/>
      <c r="QR13" s="99"/>
      <c r="QS13" s="99"/>
      <c r="QT13" s="99"/>
      <c r="QU13" s="99"/>
      <c r="QV13" s="99"/>
      <c r="QW13" s="99"/>
      <c r="QX13" s="99"/>
      <c r="QY13" s="99"/>
      <c r="QZ13" s="99"/>
      <c r="RA13" s="99"/>
      <c r="RB13" s="99"/>
      <c r="RC13" s="99"/>
      <c r="RD13" s="99"/>
      <c r="RE13" s="99"/>
      <c r="RF13" s="99"/>
      <c r="RG13" s="99"/>
      <c r="RH13" s="99"/>
      <c r="RI13" s="99"/>
      <c r="RJ13" s="99"/>
      <c r="RK13" s="99"/>
      <c r="RL13" s="99"/>
      <c r="RM13" s="99"/>
      <c r="RN13" s="99"/>
    </row>
    <row r="14" spans="1:482" s="60" customFormat="1" ht="11.25" customHeight="1" x14ac:dyDescent="0.2">
      <c r="A14" s="122" t="s">
        <v>736</v>
      </c>
      <c r="B14" s="176" t="s">
        <v>737</v>
      </c>
      <c r="C14" s="176"/>
      <c r="D14" s="116">
        <f t="shared" si="48"/>
        <v>77645096.900000006</v>
      </c>
      <c r="E14" s="114">
        <v>13000</v>
      </c>
      <c r="F14" s="114">
        <v>2753.4</v>
      </c>
      <c r="G14" s="114">
        <v>14175.4</v>
      </c>
      <c r="H14" s="114">
        <f>1700000+159400.8</f>
        <v>1859400.8</v>
      </c>
      <c r="I14" s="114">
        <v>0</v>
      </c>
      <c r="J14" s="114">
        <f>9500000+158484.9</f>
        <v>9658484.9000000004</v>
      </c>
      <c r="K14" s="114">
        <v>24381.200000000001</v>
      </c>
      <c r="L14" s="114">
        <v>1481.5</v>
      </c>
      <c r="M14" s="114">
        <v>16065.8</v>
      </c>
      <c r="N14" s="114">
        <v>0</v>
      </c>
      <c r="O14" s="114">
        <v>0</v>
      </c>
      <c r="P14" s="114">
        <f>540231.5+113188.4</f>
        <v>653419.9</v>
      </c>
      <c r="Q14" s="114">
        <v>0</v>
      </c>
      <c r="R14" s="114">
        <f>4199.8+25300.8</f>
        <v>29500.6</v>
      </c>
      <c r="S14" s="114">
        <v>0</v>
      </c>
      <c r="T14" s="114">
        <v>0</v>
      </c>
      <c r="U14" s="114">
        <v>0</v>
      </c>
      <c r="V14" s="114">
        <v>363.7</v>
      </c>
      <c r="W14" s="114">
        <v>400</v>
      </c>
      <c r="X14" s="114">
        <v>498090.2</v>
      </c>
      <c r="Y14" s="114">
        <v>0</v>
      </c>
      <c r="Z14" s="114">
        <v>34009.800000000003</v>
      </c>
      <c r="AA14" s="114">
        <v>0</v>
      </c>
      <c r="AB14" s="114">
        <v>61297.1</v>
      </c>
      <c r="AC14" s="114">
        <f>43776.1+115175.2</f>
        <v>158951.29999999999</v>
      </c>
      <c r="AD14" s="114">
        <v>308978.7</v>
      </c>
      <c r="AE14" s="114">
        <f>1907316.7+10751428.8+2696851.1</f>
        <v>15355596.6</v>
      </c>
      <c r="AF14" s="114">
        <v>213967.8</v>
      </c>
      <c r="AG14" s="114">
        <v>5000</v>
      </c>
      <c r="AH14" s="114"/>
      <c r="AI14" s="114">
        <v>0</v>
      </c>
      <c r="AJ14" s="114">
        <v>1474714.1</v>
      </c>
      <c r="AK14" s="114">
        <f>117591.4+749.5+2269724.1</f>
        <v>2388065</v>
      </c>
      <c r="AL14" s="114">
        <v>0</v>
      </c>
      <c r="AM14" s="114">
        <v>0</v>
      </c>
      <c r="AN14" s="114">
        <v>6632.9</v>
      </c>
      <c r="AO14" s="114">
        <v>0</v>
      </c>
      <c r="AP14" s="114">
        <v>1057246.8</v>
      </c>
      <c r="AQ14" s="114">
        <f>313366.4+5252.6</f>
        <v>318619</v>
      </c>
      <c r="AR14" s="114">
        <v>0</v>
      </c>
      <c r="AS14" s="114">
        <f>13000+87.6</f>
        <v>13087.6</v>
      </c>
      <c r="AT14" s="114">
        <f>19340358.5+518045.5</f>
        <v>19858404</v>
      </c>
      <c r="AU14" s="114"/>
      <c r="AV14" s="114">
        <v>11792.2</v>
      </c>
      <c r="AW14" s="114">
        <v>1694907.6</v>
      </c>
      <c r="AX14" s="114"/>
      <c r="AY14" s="114"/>
      <c r="AZ14" s="114">
        <v>0</v>
      </c>
      <c r="BA14" s="114">
        <v>97091.3</v>
      </c>
      <c r="BB14" s="114">
        <v>1263878.8999999999</v>
      </c>
      <c r="BC14" s="114">
        <v>0</v>
      </c>
      <c r="BD14" s="114">
        <f>1707.5+12545.8</f>
        <v>14253.3</v>
      </c>
      <c r="BE14" s="114">
        <f>766458.1+106213.3</f>
        <v>872671.4</v>
      </c>
      <c r="BF14" s="114">
        <v>0</v>
      </c>
      <c r="BG14" s="114">
        <v>0</v>
      </c>
      <c r="BH14" s="114">
        <v>27123</v>
      </c>
      <c r="BI14" s="114">
        <v>0</v>
      </c>
      <c r="BJ14" s="114">
        <v>9706.1</v>
      </c>
      <c r="BK14" s="114" t="s">
        <v>920</v>
      </c>
      <c r="BL14" s="99">
        <v>0</v>
      </c>
      <c r="BM14" s="99">
        <v>0</v>
      </c>
      <c r="BN14" s="99">
        <v>0</v>
      </c>
      <c r="BO14" s="99">
        <v>8680.4</v>
      </c>
      <c r="BP14" s="99">
        <f>30987.7+1200.4</f>
        <v>32188.100000000002</v>
      </c>
      <c r="BQ14" s="99">
        <v>0</v>
      </c>
      <c r="BR14" s="99">
        <f>16500.8+1184.5</f>
        <v>17685.3</v>
      </c>
      <c r="BS14" s="99">
        <v>0</v>
      </c>
      <c r="BT14" s="99">
        <v>0</v>
      </c>
      <c r="BU14" s="99">
        <v>1558.4</v>
      </c>
      <c r="BV14" s="99">
        <v>0</v>
      </c>
      <c r="BW14" s="99">
        <v>7444.2</v>
      </c>
      <c r="BX14" s="99">
        <v>0</v>
      </c>
      <c r="BY14" s="99">
        <v>0</v>
      </c>
      <c r="BZ14" s="99">
        <v>0</v>
      </c>
      <c r="CA14" s="99">
        <v>0</v>
      </c>
      <c r="CB14" s="99">
        <v>0</v>
      </c>
      <c r="CC14" s="99">
        <v>0</v>
      </c>
      <c r="CD14" s="99">
        <f>866.9+143.2</f>
        <v>1010.0999999999999</v>
      </c>
      <c r="CE14" s="99">
        <v>0</v>
      </c>
      <c r="CF14" s="99">
        <v>0</v>
      </c>
      <c r="CG14" s="99">
        <v>0</v>
      </c>
      <c r="CH14" s="99">
        <f>7089.9+15401.5</f>
        <v>22491.4</v>
      </c>
      <c r="CI14" s="99">
        <v>0</v>
      </c>
      <c r="CJ14" s="99">
        <v>0</v>
      </c>
      <c r="CK14" s="99">
        <v>0</v>
      </c>
      <c r="CL14" s="99">
        <v>0</v>
      </c>
      <c r="CM14" s="99">
        <v>994.5</v>
      </c>
      <c r="CN14" s="99">
        <v>2854.6</v>
      </c>
      <c r="CO14" s="99">
        <v>81.3</v>
      </c>
      <c r="CP14" s="99">
        <v>2429.6</v>
      </c>
      <c r="CQ14" s="99">
        <v>0</v>
      </c>
      <c r="CR14" s="99">
        <v>0</v>
      </c>
      <c r="CS14" s="99">
        <v>2969.1</v>
      </c>
      <c r="CT14" s="99"/>
      <c r="CU14" s="99"/>
      <c r="CV14" s="99"/>
      <c r="CW14" s="99">
        <v>223300</v>
      </c>
      <c r="CX14" s="99"/>
      <c r="CY14" s="99"/>
      <c r="CZ14" s="99"/>
      <c r="DA14" s="99"/>
      <c r="DB14" s="99"/>
      <c r="DC14" s="99"/>
      <c r="DD14" s="99"/>
      <c r="DE14" s="99"/>
      <c r="DF14" s="99"/>
      <c r="DG14" s="99"/>
      <c r="DH14" s="99"/>
      <c r="DI14" s="99"/>
      <c r="DJ14" s="99"/>
      <c r="DK14" s="99"/>
      <c r="DL14" s="103">
        <v>421812.6</v>
      </c>
      <c r="DM14" s="99"/>
      <c r="DN14" s="99"/>
      <c r="DO14" s="99"/>
      <c r="DP14" s="99">
        <v>10</v>
      </c>
      <c r="DQ14" s="99"/>
      <c r="DR14" s="99"/>
      <c r="DS14" s="99"/>
      <c r="DT14" s="99"/>
      <c r="DU14" s="99">
        <f>6192.6+1561</f>
        <v>7753.6</v>
      </c>
      <c r="DV14" s="99"/>
      <c r="DW14" s="99"/>
      <c r="DX14" s="99"/>
      <c r="DY14" s="99"/>
      <c r="DZ14" s="99"/>
      <c r="EA14" s="99"/>
      <c r="EB14" s="99"/>
      <c r="EC14" s="99"/>
      <c r="ED14" s="99"/>
      <c r="EE14" s="99">
        <v>61760.6</v>
      </c>
      <c r="EF14" s="99"/>
      <c r="EG14" s="99">
        <v>111955.8</v>
      </c>
      <c r="EH14" s="99"/>
      <c r="EI14" s="99">
        <v>93448.5</v>
      </c>
      <c r="EJ14" s="99">
        <v>0</v>
      </c>
      <c r="EK14" s="99">
        <v>0</v>
      </c>
      <c r="EL14" s="99">
        <v>26396.1</v>
      </c>
      <c r="EM14" s="99">
        <v>0</v>
      </c>
      <c r="EN14" s="99">
        <v>0</v>
      </c>
      <c r="EO14" s="99">
        <v>0</v>
      </c>
      <c r="EP14" s="99">
        <v>0</v>
      </c>
      <c r="EQ14" s="99">
        <v>0</v>
      </c>
      <c r="ER14" s="99">
        <v>2196.6</v>
      </c>
      <c r="ES14" s="99">
        <v>8608.2000000000007</v>
      </c>
      <c r="ET14" s="99">
        <v>0</v>
      </c>
      <c r="EU14" s="99"/>
      <c r="EV14" s="99"/>
      <c r="EW14" s="99">
        <v>1012.2</v>
      </c>
      <c r="EX14" s="99">
        <v>947.30000000000007</v>
      </c>
      <c r="EY14" s="99">
        <v>993</v>
      </c>
      <c r="EZ14" s="99">
        <v>180.8</v>
      </c>
      <c r="FA14" s="99">
        <v>1396.1000000000001</v>
      </c>
      <c r="FB14" s="99">
        <v>0</v>
      </c>
      <c r="FC14" s="99">
        <v>794.4</v>
      </c>
      <c r="FD14" s="99">
        <v>81549.2</v>
      </c>
      <c r="FE14" s="99">
        <v>2039.4</v>
      </c>
      <c r="FF14" s="99">
        <f>51700+46293.1</f>
        <v>97993.1</v>
      </c>
      <c r="FG14" s="99">
        <v>143.80000000000001</v>
      </c>
      <c r="FH14" s="99">
        <v>0</v>
      </c>
      <c r="FI14" s="99">
        <v>12578.5</v>
      </c>
      <c r="FJ14" s="99">
        <v>0</v>
      </c>
      <c r="FK14" s="99">
        <v>0</v>
      </c>
      <c r="FL14" s="99">
        <v>525</v>
      </c>
      <c r="FM14" s="100">
        <f>46091.9+143.6</f>
        <v>46235.5</v>
      </c>
      <c r="FN14" s="99">
        <v>0</v>
      </c>
      <c r="FO14" s="99">
        <v>15349.4</v>
      </c>
      <c r="FP14" s="99">
        <v>298.60000000000002</v>
      </c>
      <c r="FQ14" s="99">
        <v>0</v>
      </c>
      <c r="FR14" s="99">
        <v>0</v>
      </c>
      <c r="FS14" s="99">
        <v>8520.2000000000007</v>
      </c>
      <c r="FT14" s="99">
        <v>0</v>
      </c>
      <c r="FU14" s="99">
        <v>0</v>
      </c>
      <c r="FV14" s="99">
        <v>5131.2</v>
      </c>
      <c r="FW14" s="99">
        <v>0</v>
      </c>
      <c r="FX14" s="99">
        <v>0</v>
      </c>
      <c r="FY14" s="99">
        <v>0</v>
      </c>
      <c r="FZ14" s="99">
        <v>0</v>
      </c>
      <c r="GA14" s="99">
        <v>0</v>
      </c>
      <c r="GB14" s="99">
        <v>175650</v>
      </c>
      <c r="GC14" s="99">
        <v>2947.1</v>
      </c>
      <c r="GD14" s="99">
        <v>0</v>
      </c>
      <c r="GE14" s="99"/>
      <c r="GF14" s="99"/>
      <c r="GG14" s="99"/>
      <c r="GH14" s="99"/>
      <c r="GI14" s="99">
        <v>1649991.4</v>
      </c>
      <c r="GJ14" s="99"/>
      <c r="GK14" s="99"/>
      <c r="GL14" s="99"/>
      <c r="GM14" s="99"/>
      <c r="GN14" s="99"/>
      <c r="GO14" s="99"/>
      <c r="GP14" s="99"/>
      <c r="GQ14" s="99"/>
      <c r="GR14" s="99">
        <v>2000</v>
      </c>
      <c r="GS14" s="99">
        <v>0</v>
      </c>
      <c r="GT14" s="99">
        <v>0</v>
      </c>
      <c r="GU14" s="99">
        <v>230</v>
      </c>
      <c r="GV14" s="99">
        <v>0</v>
      </c>
      <c r="GW14" s="99">
        <v>0</v>
      </c>
      <c r="GX14" s="99">
        <v>0</v>
      </c>
      <c r="GY14" s="99">
        <v>11</v>
      </c>
      <c r="GZ14" s="99">
        <v>1</v>
      </c>
      <c r="HA14" s="99">
        <v>52.2</v>
      </c>
      <c r="HB14" s="99">
        <v>1</v>
      </c>
      <c r="HC14" s="99"/>
      <c r="HD14" s="99"/>
      <c r="HE14" s="99">
        <v>56.9</v>
      </c>
      <c r="HF14" s="99">
        <v>0</v>
      </c>
      <c r="HG14" s="99">
        <v>4088.7000000000003</v>
      </c>
      <c r="HH14" s="99">
        <v>0</v>
      </c>
      <c r="HI14" s="99">
        <v>13088.1</v>
      </c>
      <c r="HJ14" s="99">
        <v>3600</v>
      </c>
      <c r="HK14" s="99">
        <v>0</v>
      </c>
      <c r="HL14" s="99">
        <v>0</v>
      </c>
      <c r="HM14" s="99">
        <v>9090.9</v>
      </c>
      <c r="HN14" s="99">
        <v>247673.4</v>
      </c>
      <c r="HO14" s="103">
        <v>46781.5</v>
      </c>
      <c r="HP14" s="99"/>
      <c r="HQ14" s="99"/>
      <c r="HR14" s="99"/>
      <c r="HS14" s="99"/>
      <c r="HT14" s="99"/>
      <c r="HU14" s="99"/>
      <c r="HV14" s="99"/>
      <c r="HW14" s="99"/>
      <c r="HX14" s="99"/>
      <c r="HY14" s="99"/>
      <c r="HZ14" s="99">
        <v>0</v>
      </c>
      <c r="IA14" s="99">
        <v>23756.1</v>
      </c>
      <c r="IB14" s="99">
        <v>0</v>
      </c>
      <c r="IC14" s="99">
        <v>0</v>
      </c>
      <c r="ID14" s="99">
        <v>0</v>
      </c>
      <c r="IE14" s="99">
        <v>0</v>
      </c>
      <c r="IF14" s="99">
        <v>0</v>
      </c>
      <c r="IG14" s="99">
        <v>0</v>
      </c>
      <c r="IH14" s="99">
        <v>0</v>
      </c>
      <c r="II14" s="99">
        <v>0</v>
      </c>
      <c r="IJ14" s="99">
        <v>1597.5</v>
      </c>
      <c r="IK14" s="99">
        <v>28259.5</v>
      </c>
      <c r="IL14" s="99">
        <v>0</v>
      </c>
      <c r="IM14" s="99">
        <v>0</v>
      </c>
      <c r="IN14" s="99">
        <v>0</v>
      </c>
      <c r="IO14" s="99">
        <v>0</v>
      </c>
      <c r="IP14" s="99">
        <v>0</v>
      </c>
      <c r="IQ14" s="99">
        <v>0</v>
      </c>
      <c r="IR14" s="99">
        <f>50000+12081738.5</f>
        <v>12131738.5</v>
      </c>
      <c r="IS14" s="99">
        <v>0</v>
      </c>
      <c r="IT14" s="99">
        <v>0</v>
      </c>
      <c r="IU14" s="99">
        <v>6556.1</v>
      </c>
      <c r="IV14" s="99"/>
      <c r="IW14" s="99">
        <v>0</v>
      </c>
      <c r="IX14" s="99">
        <f>24000+50829.7</f>
        <v>74829.7</v>
      </c>
      <c r="IY14" s="99">
        <v>327397.40000000002</v>
      </c>
      <c r="IZ14" s="99">
        <v>0</v>
      </c>
      <c r="JA14" s="99">
        <v>0</v>
      </c>
      <c r="JB14" s="99">
        <v>0</v>
      </c>
      <c r="JC14" s="99">
        <v>9841.1</v>
      </c>
      <c r="JD14" s="99"/>
      <c r="JE14" s="99"/>
      <c r="JF14" s="99"/>
      <c r="JG14" s="99"/>
      <c r="JH14" s="99"/>
      <c r="JI14" s="99"/>
      <c r="JJ14" s="99"/>
      <c r="JK14" s="99"/>
      <c r="JL14" s="99"/>
      <c r="JM14" s="99"/>
      <c r="JN14" s="99"/>
      <c r="JO14" s="99"/>
      <c r="JP14" s="99"/>
      <c r="JQ14" s="99"/>
      <c r="JR14" s="99"/>
      <c r="JS14" s="99"/>
      <c r="JT14" s="99"/>
      <c r="JU14" s="99"/>
      <c r="JV14" s="99"/>
      <c r="JW14" s="99"/>
      <c r="JX14" s="99">
        <v>7716.8</v>
      </c>
      <c r="JY14" s="99"/>
      <c r="JZ14" s="99">
        <v>21563.9</v>
      </c>
      <c r="KA14" s="99">
        <v>0</v>
      </c>
      <c r="KB14" s="99"/>
      <c r="KC14" s="99"/>
      <c r="KD14" s="99"/>
      <c r="KE14" s="99"/>
      <c r="KF14" s="99"/>
      <c r="KG14" s="99">
        <v>0</v>
      </c>
      <c r="KH14" s="99">
        <v>0</v>
      </c>
      <c r="KI14" s="99">
        <v>0</v>
      </c>
      <c r="KJ14" s="99">
        <v>0</v>
      </c>
      <c r="KK14" s="99">
        <v>0</v>
      </c>
      <c r="KL14" s="99">
        <v>0</v>
      </c>
      <c r="KM14" s="99">
        <v>0</v>
      </c>
      <c r="KN14" s="99">
        <v>0</v>
      </c>
      <c r="KO14" s="99">
        <v>0</v>
      </c>
      <c r="KP14" s="99">
        <v>13113.3</v>
      </c>
      <c r="KQ14" s="99">
        <v>0</v>
      </c>
      <c r="KR14" s="99">
        <v>61598.400000000001</v>
      </c>
      <c r="KS14" s="99">
        <f>49343.2+109.4</f>
        <v>49452.6</v>
      </c>
      <c r="KT14" s="99">
        <v>0</v>
      </c>
      <c r="KU14" s="99">
        <v>0</v>
      </c>
      <c r="KV14" s="99">
        <v>18071</v>
      </c>
      <c r="KW14" s="99">
        <v>74.900000000000006</v>
      </c>
      <c r="KX14" s="99">
        <f>10+419635.9</f>
        <v>419645.9</v>
      </c>
      <c r="KY14" s="99">
        <v>0</v>
      </c>
      <c r="KZ14" s="99">
        <v>2622.7</v>
      </c>
      <c r="LA14" s="99">
        <v>5000</v>
      </c>
      <c r="LB14" s="99">
        <v>0</v>
      </c>
      <c r="LC14" s="99"/>
      <c r="LD14" s="99"/>
      <c r="LE14" s="99"/>
      <c r="LF14" s="99"/>
      <c r="LG14" s="99"/>
      <c r="LH14" s="99"/>
      <c r="LI14" s="99"/>
      <c r="LJ14" s="99"/>
      <c r="LK14" s="99"/>
      <c r="LL14" s="99"/>
      <c r="LM14" s="99"/>
      <c r="LN14" s="99"/>
      <c r="LO14" s="99"/>
      <c r="LP14" s="99"/>
      <c r="LQ14" s="99"/>
      <c r="LR14" s="99"/>
      <c r="LS14" s="99"/>
      <c r="LT14" s="99"/>
      <c r="LU14" s="99"/>
      <c r="LV14" s="99"/>
      <c r="LW14" s="99">
        <v>25823.3</v>
      </c>
      <c r="LX14" s="99">
        <v>163</v>
      </c>
      <c r="LY14" s="99">
        <v>0</v>
      </c>
      <c r="LZ14" s="99">
        <v>0</v>
      </c>
      <c r="MA14" s="99">
        <v>0</v>
      </c>
      <c r="MB14" s="99">
        <v>0</v>
      </c>
      <c r="MC14" s="99">
        <v>0</v>
      </c>
      <c r="MD14" s="99">
        <v>0</v>
      </c>
      <c r="ME14" s="99">
        <v>0</v>
      </c>
      <c r="MF14" s="99">
        <v>0</v>
      </c>
      <c r="MG14" s="99">
        <v>714</v>
      </c>
      <c r="MH14" s="99">
        <v>0</v>
      </c>
      <c r="MI14" s="99">
        <v>5</v>
      </c>
      <c r="MJ14" s="99">
        <v>3</v>
      </c>
      <c r="MK14" s="99">
        <v>0</v>
      </c>
      <c r="ML14" s="99">
        <v>0</v>
      </c>
      <c r="MM14" s="99">
        <v>0</v>
      </c>
      <c r="MN14" s="99">
        <v>0</v>
      </c>
      <c r="MO14" s="99">
        <v>0</v>
      </c>
      <c r="MP14" s="99">
        <v>0</v>
      </c>
      <c r="MQ14" s="99">
        <v>0</v>
      </c>
      <c r="MR14" s="99">
        <v>0</v>
      </c>
      <c r="MS14" s="99">
        <v>0</v>
      </c>
      <c r="MT14" s="99">
        <v>0</v>
      </c>
      <c r="MU14" s="99">
        <v>0</v>
      </c>
      <c r="MV14" s="99">
        <v>0</v>
      </c>
      <c r="MW14" s="99">
        <v>0</v>
      </c>
      <c r="MX14" s="99">
        <v>0</v>
      </c>
      <c r="MY14" s="99">
        <v>0</v>
      </c>
      <c r="MZ14" s="99">
        <v>0</v>
      </c>
      <c r="NA14" s="99">
        <v>0</v>
      </c>
      <c r="NB14" s="99"/>
      <c r="NC14" s="99"/>
      <c r="ND14" s="99"/>
      <c r="NE14" s="99"/>
      <c r="NF14" s="99"/>
      <c r="NG14" s="99">
        <v>74500</v>
      </c>
      <c r="NH14" s="99">
        <v>0</v>
      </c>
      <c r="NI14" s="99">
        <v>0</v>
      </c>
      <c r="NJ14" s="99">
        <v>0</v>
      </c>
      <c r="NK14" s="99">
        <v>3496.3</v>
      </c>
      <c r="NL14" s="99">
        <v>0</v>
      </c>
      <c r="NM14" s="99">
        <v>0</v>
      </c>
      <c r="NN14" s="99">
        <v>0</v>
      </c>
      <c r="NO14" s="99">
        <v>0</v>
      </c>
      <c r="NP14" s="99">
        <v>161.20000000000002</v>
      </c>
      <c r="NQ14" s="99"/>
      <c r="NR14" s="99"/>
      <c r="NS14" s="99"/>
      <c r="NT14" s="99"/>
      <c r="NU14" s="99"/>
      <c r="NV14" s="99">
        <v>0</v>
      </c>
      <c r="NW14" s="99">
        <v>0</v>
      </c>
      <c r="NX14" s="99">
        <v>7210</v>
      </c>
      <c r="NY14" s="99">
        <v>4000</v>
      </c>
      <c r="NZ14" s="99">
        <v>0</v>
      </c>
      <c r="OA14" s="99">
        <v>0</v>
      </c>
      <c r="OB14" s="99"/>
      <c r="OC14" s="99"/>
      <c r="OD14" s="99">
        <v>0</v>
      </c>
      <c r="OE14" s="99">
        <v>0</v>
      </c>
      <c r="OF14" s="99">
        <v>0</v>
      </c>
      <c r="OG14" s="99">
        <v>15146.5</v>
      </c>
      <c r="OH14" s="99">
        <v>3480</v>
      </c>
      <c r="OI14" s="99">
        <f>5306+12972.9</f>
        <v>18278.900000000001</v>
      </c>
      <c r="OJ14" s="99">
        <v>754.4</v>
      </c>
      <c r="OK14" s="99">
        <v>7224.3</v>
      </c>
      <c r="OL14" s="99">
        <v>58304.1</v>
      </c>
      <c r="OM14" s="99">
        <f>416253+38566.5</f>
        <v>454819.5</v>
      </c>
      <c r="ON14" s="99">
        <v>500</v>
      </c>
      <c r="OO14" s="99">
        <v>0</v>
      </c>
      <c r="OP14" s="99">
        <v>5009</v>
      </c>
      <c r="OQ14" s="99">
        <v>20</v>
      </c>
      <c r="OR14" s="99">
        <v>755.9</v>
      </c>
      <c r="OS14" s="99">
        <f>211967.7+2589.6+20575.3</f>
        <v>235132.6</v>
      </c>
      <c r="OT14" s="99">
        <v>54601.700000000004</v>
      </c>
      <c r="OU14" s="99">
        <v>0</v>
      </c>
      <c r="OV14" s="99">
        <v>430.1</v>
      </c>
      <c r="OW14" s="99">
        <v>0</v>
      </c>
      <c r="OX14" s="99">
        <v>718.7</v>
      </c>
      <c r="OY14" s="99">
        <v>0</v>
      </c>
      <c r="OZ14" s="99">
        <v>466914.5</v>
      </c>
      <c r="PA14" s="99">
        <v>16560.7</v>
      </c>
      <c r="PB14" s="99">
        <v>32680.100000000002</v>
      </c>
      <c r="PC14" s="99">
        <v>0</v>
      </c>
      <c r="PD14" s="99">
        <v>0</v>
      </c>
      <c r="PE14" s="99">
        <v>0</v>
      </c>
      <c r="PF14" s="99">
        <v>0</v>
      </c>
      <c r="PG14" s="99">
        <f>1135148.6+65031.2</f>
        <v>1200179.8</v>
      </c>
      <c r="PH14" s="99">
        <v>381.7</v>
      </c>
      <c r="PI14" s="99">
        <v>17154.900000000001</v>
      </c>
      <c r="PJ14" s="99">
        <v>34070</v>
      </c>
      <c r="PK14" s="99">
        <v>0</v>
      </c>
      <c r="PL14" s="99">
        <v>0</v>
      </c>
      <c r="PM14" s="99">
        <v>0</v>
      </c>
      <c r="PN14" s="99">
        <v>12104.4</v>
      </c>
      <c r="PO14" s="99">
        <v>0</v>
      </c>
      <c r="PP14" s="99">
        <v>0</v>
      </c>
      <c r="PQ14" s="99">
        <v>0</v>
      </c>
      <c r="PR14" s="99"/>
      <c r="PS14" s="99">
        <v>11413.6</v>
      </c>
      <c r="PT14" s="99">
        <v>0</v>
      </c>
      <c r="PU14" s="99">
        <v>1453.8</v>
      </c>
      <c r="PV14" s="99">
        <v>0</v>
      </c>
      <c r="PW14" s="99">
        <f>20+26439.9</f>
        <v>26459.9</v>
      </c>
      <c r="PX14" s="99">
        <v>0</v>
      </c>
      <c r="PY14" s="99">
        <v>0</v>
      </c>
      <c r="PZ14" s="99">
        <v>0</v>
      </c>
      <c r="QA14" s="99">
        <v>399.5</v>
      </c>
      <c r="QB14" s="99">
        <v>69.5</v>
      </c>
      <c r="QC14" s="99">
        <v>0</v>
      </c>
      <c r="QD14" s="99">
        <v>1</v>
      </c>
      <c r="QE14" s="99">
        <f>5000+852.9</f>
        <v>5852.9</v>
      </c>
      <c r="QF14" s="99">
        <v>0</v>
      </c>
      <c r="QG14" s="99">
        <v>569.30000000000007</v>
      </c>
      <c r="QH14" s="99">
        <v>0</v>
      </c>
      <c r="QI14" s="99">
        <v>17965.5</v>
      </c>
      <c r="QJ14" s="99">
        <v>0</v>
      </c>
      <c r="QK14" s="99">
        <v>0</v>
      </c>
      <c r="QL14" s="99">
        <v>0</v>
      </c>
      <c r="QM14" s="99"/>
      <c r="QN14" s="99"/>
      <c r="QO14" s="99"/>
      <c r="QP14" s="99"/>
      <c r="QQ14" s="99">
        <v>10033.299999999999</v>
      </c>
      <c r="QR14" s="99">
        <v>9969.7999999999993</v>
      </c>
      <c r="QS14" s="99"/>
      <c r="QT14" s="99">
        <v>5</v>
      </c>
      <c r="QU14" s="99"/>
      <c r="QV14" s="99"/>
      <c r="QW14" s="99"/>
      <c r="QX14" s="99"/>
      <c r="QY14" s="99"/>
      <c r="QZ14" s="99"/>
      <c r="RA14" s="99">
        <v>745.5</v>
      </c>
      <c r="RB14" s="99">
        <v>864.6</v>
      </c>
      <c r="RC14" s="99">
        <v>674.8</v>
      </c>
      <c r="RD14" s="99"/>
      <c r="RE14" s="99"/>
      <c r="RF14" s="99">
        <v>98220</v>
      </c>
      <c r="RG14" s="99">
        <v>129.6</v>
      </c>
      <c r="RH14" s="99"/>
      <c r="RI14" s="99"/>
      <c r="RJ14" s="99">
        <v>44.5</v>
      </c>
      <c r="RK14" s="99"/>
      <c r="RL14" s="99"/>
      <c r="RM14" s="99"/>
      <c r="RN14" s="99"/>
    </row>
    <row r="15" spans="1:482" s="60" customFormat="1" ht="11.25" customHeight="1" x14ac:dyDescent="0.2">
      <c r="A15" s="122" t="s">
        <v>738</v>
      </c>
      <c r="B15" s="176" t="s">
        <v>857</v>
      </c>
      <c r="C15" s="176"/>
      <c r="D15" s="116">
        <f t="shared" si="48"/>
        <v>2878649.7</v>
      </c>
      <c r="E15" s="114"/>
      <c r="F15" s="114"/>
      <c r="G15" s="114"/>
      <c r="H15" s="114"/>
      <c r="I15" s="114"/>
      <c r="J15" s="114"/>
      <c r="K15" s="114"/>
      <c r="L15" s="114"/>
      <c r="M15" s="114"/>
      <c r="N15" s="114"/>
      <c r="O15" s="114"/>
      <c r="P15" s="114"/>
      <c r="Q15" s="114"/>
      <c r="R15" s="114"/>
      <c r="S15" s="114"/>
      <c r="T15" s="114"/>
      <c r="U15" s="114"/>
      <c r="V15" s="114"/>
      <c r="W15" s="114"/>
      <c r="X15" s="114">
        <v>22145.7</v>
      </c>
      <c r="Y15" s="114"/>
      <c r="Z15" s="114"/>
      <c r="AA15" s="114"/>
      <c r="AB15" s="114"/>
      <c r="AC15" s="114"/>
      <c r="AD15" s="114">
        <v>2426.4</v>
      </c>
      <c r="AE15" s="114">
        <f>1419511.7+232656.3</f>
        <v>1652168</v>
      </c>
      <c r="AF15" s="114">
        <v>840310.1</v>
      </c>
      <c r="AG15" s="114"/>
      <c r="AH15" s="114"/>
      <c r="AI15" s="114"/>
      <c r="AJ15" s="114"/>
      <c r="AK15" s="114">
        <v>26672.2</v>
      </c>
      <c r="AL15" s="114"/>
      <c r="AM15" s="114"/>
      <c r="AN15" s="114"/>
      <c r="AO15" s="114"/>
      <c r="AP15" s="114">
        <v>173030.3</v>
      </c>
      <c r="AQ15" s="114"/>
      <c r="AR15" s="114"/>
      <c r="AS15" s="114"/>
      <c r="AT15" s="114">
        <v>9000.7000000000007</v>
      </c>
      <c r="AU15" s="114"/>
      <c r="AV15" s="114"/>
      <c r="AW15" s="114"/>
      <c r="AX15" s="114"/>
      <c r="AY15" s="114"/>
      <c r="AZ15" s="114"/>
      <c r="BA15" s="114">
        <v>152896.29999999999</v>
      </c>
      <c r="BB15" s="114"/>
      <c r="BC15" s="114"/>
      <c r="BD15" s="114"/>
      <c r="BE15" s="114"/>
      <c r="BF15" s="114"/>
      <c r="BG15" s="114"/>
      <c r="BH15" s="114"/>
      <c r="BI15" s="114"/>
      <c r="BJ15" s="114"/>
      <c r="BK15" s="114" t="s">
        <v>921</v>
      </c>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t="s">
        <v>739</v>
      </c>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99"/>
      <c r="NE15" s="99"/>
      <c r="NF15" s="99"/>
      <c r="NG15" s="99"/>
      <c r="NH15" s="99"/>
      <c r="NI15" s="99"/>
      <c r="NJ15" s="99"/>
      <c r="NK15" s="99"/>
      <c r="NL15" s="99"/>
      <c r="NM15" s="99"/>
      <c r="NN15" s="99"/>
      <c r="NO15" s="99"/>
      <c r="NP15" s="99"/>
      <c r="NQ15" s="99"/>
      <c r="NR15" s="99"/>
      <c r="NS15" s="99"/>
      <c r="NT15" s="99"/>
      <c r="NU15" s="99"/>
      <c r="NV15" s="99"/>
      <c r="NW15" s="99"/>
      <c r="NX15" s="99"/>
      <c r="NY15" s="99"/>
      <c r="NZ15" s="99"/>
      <c r="OA15" s="99"/>
      <c r="OB15" s="99"/>
      <c r="OC15" s="99"/>
      <c r="OD15" s="99"/>
      <c r="OE15" s="99"/>
      <c r="OF15" s="99"/>
      <c r="OG15" s="99"/>
      <c r="OH15" s="99"/>
      <c r="OI15" s="99"/>
      <c r="OJ15" s="99"/>
      <c r="OK15" s="99"/>
      <c r="OL15" s="99"/>
      <c r="OM15" s="99"/>
      <c r="ON15" s="99"/>
      <c r="OO15" s="99"/>
      <c r="OP15" s="99"/>
      <c r="OQ15" s="99"/>
      <c r="OR15" s="99"/>
      <c r="OS15" s="99"/>
      <c r="OT15" s="99"/>
      <c r="OU15" s="99"/>
      <c r="OV15" s="99"/>
      <c r="OW15" s="99"/>
      <c r="OX15" s="99"/>
      <c r="OY15" s="99"/>
      <c r="OZ15" s="99"/>
      <c r="PA15" s="99"/>
      <c r="PB15" s="99"/>
      <c r="PC15" s="99"/>
      <c r="PD15" s="99"/>
      <c r="PE15" s="99"/>
      <c r="PF15" s="99"/>
      <c r="PG15" s="99"/>
      <c r="PH15" s="99"/>
      <c r="PI15" s="99"/>
      <c r="PJ15" s="99"/>
      <c r="PK15" s="99"/>
      <c r="PL15" s="99"/>
      <c r="PM15" s="99"/>
      <c r="PN15" s="99"/>
      <c r="PO15" s="99"/>
      <c r="PP15" s="99"/>
      <c r="PQ15" s="99"/>
      <c r="PR15" s="99"/>
      <c r="PS15" s="99"/>
      <c r="PT15" s="99"/>
      <c r="PU15" s="99"/>
      <c r="PV15" s="99"/>
      <c r="PW15" s="99"/>
      <c r="PX15" s="99"/>
      <c r="PY15" s="99"/>
      <c r="PZ15" s="99"/>
      <c r="QA15" s="99"/>
      <c r="QB15" s="99"/>
      <c r="QC15" s="99"/>
      <c r="QD15" s="99"/>
      <c r="QE15" s="99"/>
      <c r="QF15" s="99"/>
      <c r="QG15" s="99"/>
      <c r="QH15" s="99"/>
      <c r="QI15" s="99"/>
      <c r="QJ15" s="99"/>
      <c r="QK15" s="99"/>
      <c r="QL15" s="99"/>
      <c r="QM15" s="99"/>
      <c r="QN15" s="99"/>
      <c r="QO15" s="99"/>
      <c r="QP15" s="99"/>
      <c r="QQ15" s="99"/>
      <c r="QR15" s="99"/>
      <c r="QS15" s="99"/>
      <c r="QT15" s="99"/>
      <c r="QU15" s="99"/>
      <c r="QV15" s="99"/>
      <c r="QW15" s="99"/>
      <c r="QX15" s="99"/>
      <c r="QY15" s="99"/>
      <c r="QZ15" s="99"/>
      <c r="RA15" s="99"/>
      <c r="RB15" s="99"/>
      <c r="RC15" s="99"/>
      <c r="RD15" s="99"/>
      <c r="RE15" s="99"/>
      <c r="RF15" s="99"/>
      <c r="RG15" s="99"/>
      <c r="RH15" s="99"/>
      <c r="RI15" s="99"/>
      <c r="RJ15" s="99"/>
      <c r="RK15" s="99"/>
      <c r="RL15" s="99"/>
      <c r="RM15" s="99"/>
      <c r="RN15" s="99"/>
    </row>
    <row r="16" spans="1:482" s="60" customFormat="1" ht="11.25" customHeight="1" x14ac:dyDescent="0.2">
      <c r="A16" s="122" t="s">
        <v>740</v>
      </c>
      <c r="B16" s="176" t="s">
        <v>858</v>
      </c>
      <c r="C16" s="176"/>
      <c r="D16" s="116">
        <f t="shared" si="48"/>
        <v>62645.9</v>
      </c>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f>27205.8+6437.6</f>
        <v>33643.4</v>
      </c>
      <c r="AF16" s="114">
        <v>22782.400000000001</v>
      </c>
      <c r="AG16" s="114"/>
      <c r="AH16" s="114"/>
      <c r="AI16" s="114"/>
      <c r="AJ16" s="114"/>
      <c r="AK16" s="114"/>
      <c r="AL16" s="114"/>
      <c r="AM16" s="114"/>
      <c r="AN16" s="114"/>
      <c r="AO16" s="114"/>
      <c r="AP16" s="114">
        <v>3619.2</v>
      </c>
      <c r="AQ16" s="114"/>
      <c r="AR16" s="114"/>
      <c r="AS16" s="114"/>
      <c r="AT16" s="114"/>
      <c r="AU16" s="114"/>
      <c r="AV16" s="114"/>
      <c r="AW16" s="114"/>
      <c r="AX16" s="114"/>
      <c r="AY16" s="114"/>
      <c r="AZ16" s="114"/>
      <c r="BA16" s="114">
        <v>2600.9</v>
      </c>
      <c r="BB16" s="114"/>
      <c r="BC16" s="114"/>
      <c r="BD16" s="114"/>
      <c r="BE16" s="114"/>
      <c r="BF16" s="114"/>
      <c r="BG16" s="114"/>
      <c r="BH16" s="114"/>
      <c r="BI16" s="114"/>
      <c r="BJ16" s="114"/>
      <c r="BK16" s="114" t="s">
        <v>912</v>
      </c>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99"/>
      <c r="NF16" s="99"/>
      <c r="NG16" s="99"/>
      <c r="NH16" s="99"/>
      <c r="NI16" s="99"/>
      <c r="NJ16" s="99"/>
      <c r="NK16" s="99"/>
      <c r="NL16" s="99"/>
      <c r="NM16" s="99"/>
      <c r="NN16" s="99"/>
      <c r="NO16" s="99"/>
      <c r="NP16" s="99"/>
      <c r="NQ16" s="99"/>
      <c r="NR16" s="99"/>
      <c r="NS16" s="99"/>
      <c r="NT16" s="99"/>
      <c r="NU16" s="99"/>
      <c r="NV16" s="99"/>
      <c r="NW16" s="99"/>
      <c r="NX16" s="99"/>
      <c r="NY16" s="99"/>
      <c r="NZ16" s="99"/>
      <c r="OA16" s="99"/>
      <c r="OB16" s="99"/>
      <c r="OC16" s="99"/>
      <c r="OD16" s="99"/>
      <c r="OE16" s="99"/>
      <c r="OF16" s="99"/>
      <c r="OG16" s="99"/>
      <c r="OH16" s="99"/>
      <c r="OI16" s="99"/>
      <c r="OJ16" s="99"/>
      <c r="OK16" s="99"/>
      <c r="OL16" s="99"/>
      <c r="OM16" s="99"/>
      <c r="ON16" s="99"/>
      <c r="OO16" s="99"/>
      <c r="OP16" s="99"/>
      <c r="OQ16" s="99"/>
      <c r="OR16" s="99"/>
      <c r="OS16" s="99"/>
      <c r="OT16" s="99"/>
      <c r="OU16" s="99"/>
      <c r="OV16" s="99"/>
      <c r="OW16" s="99"/>
      <c r="OX16" s="99"/>
      <c r="OY16" s="99"/>
      <c r="OZ16" s="99"/>
      <c r="PA16" s="99"/>
      <c r="PB16" s="99"/>
      <c r="PC16" s="99"/>
      <c r="PD16" s="99"/>
      <c r="PE16" s="99"/>
      <c r="PF16" s="99"/>
      <c r="PG16" s="99"/>
      <c r="PH16" s="99"/>
      <c r="PI16" s="99"/>
      <c r="PJ16" s="99"/>
      <c r="PK16" s="99"/>
      <c r="PL16" s="99"/>
      <c r="PM16" s="99"/>
      <c r="PN16" s="99"/>
      <c r="PO16" s="99"/>
      <c r="PP16" s="99"/>
      <c r="PQ16" s="99"/>
      <c r="PR16" s="99"/>
      <c r="PS16" s="99"/>
      <c r="PT16" s="99"/>
      <c r="PU16" s="99"/>
      <c r="PV16" s="99"/>
      <c r="PW16" s="99"/>
      <c r="PX16" s="99"/>
      <c r="PY16" s="99"/>
      <c r="PZ16" s="99"/>
      <c r="QA16" s="99"/>
      <c r="QB16" s="99"/>
      <c r="QC16" s="99"/>
      <c r="QD16" s="99"/>
      <c r="QE16" s="99"/>
      <c r="QF16" s="99"/>
      <c r="QG16" s="99"/>
      <c r="QH16" s="99"/>
      <c r="QI16" s="99"/>
      <c r="QJ16" s="99"/>
      <c r="QK16" s="99"/>
      <c r="QL16" s="99"/>
      <c r="QM16" s="99"/>
      <c r="QN16" s="99"/>
      <c r="QO16" s="99"/>
      <c r="QP16" s="99"/>
      <c r="QQ16" s="99"/>
      <c r="QR16" s="99"/>
      <c r="QS16" s="99"/>
      <c r="QT16" s="99"/>
      <c r="QU16" s="99"/>
      <c r="QV16" s="99"/>
      <c r="QW16" s="99"/>
      <c r="QX16" s="99"/>
      <c r="QY16" s="99"/>
      <c r="QZ16" s="99"/>
      <c r="RA16" s="99"/>
      <c r="RB16" s="99"/>
      <c r="RC16" s="99"/>
      <c r="RD16" s="99"/>
      <c r="RE16" s="99"/>
      <c r="RF16" s="99"/>
      <c r="RG16" s="99"/>
      <c r="RH16" s="99"/>
      <c r="RI16" s="99"/>
      <c r="RJ16" s="99"/>
      <c r="RK16" s="99"/>
      <c r="RL16" s="99"/>
      <c r="RM16" s="99"/>
      <c r="RN16" s="99"/>
    </row>
    <row r="17" spans="1:482" s="60" customFormat="1" ht="11.25" customHeight="1" x14ac:dyDescent="0.2">
      <c r="A17" s="122" t="s">
        <v>741</v>
      </c>
      <c r="B17" s="176" t="s">
        <v>859</v>
      </c>
      <c r="C17" s="176"/>
      <c r="D17" s="116">
        <f t="shared" si="48"/>
        <v>168947671.30000004</v>
      </c>
      <c r="E17" s="114">
        <v>7460.2</v>
      </c>
      <c r="F17" s="114">
        <v>0</v>
      </c>
      <c r="G17" s="114">
        <f>2891.2+2455.7</f>
        <v>5346.9</v>
      </c>
      <c r="H17" s="114">
        <v>1542276.9</v>
      </c>
      <c r="I17" s="114">
        <f>5795.4+13522.5</f>
        <v>19317.900000000001</v>
      </c>
      <c r="J17" s="114">
        <v>17687164.300000001</v>
      </c>
      <c r="K17" s="114">
        <v>77121.5</v>
      </c>
      <c r="L17" s="114">
        <v>84624.3</v>
      </c>
      <c r="M17" s="114">
        <v>0</v>
      </c>
      <c r="N17" s="114">
        <v>0</v>
      </c>
      <c r="O17" s="114">
        <v>6359.2</v>
      </c>
      <c r="P17" s="114">
        <v>7445.9</v>
      </c>
      <c r="Q17" s="114">
        <v>0</v>
      </c>
      <c r="R17" s="114">
        <v>164362.20000000001</v>
      </c>
      <c r="S17" s="114">
        <v>2526.4</v>
      </c>
      <c r="T17" s="114">
        <v>0</v>
      </c>
      <c r="U17" s="114">
        <v>0</v>
      </c>
      <c r="V17" s="114">
        <v>5436.9</v>
      </c>
      <c r="W17" s="114">
        <v>0</v>
      </c>
      <c r="X17" s="114">
        <v>103357.5</v>
      </c>
      <c r="Y17" s="114">
        <v>74449.600000000006</v>
      </c>
      <c r="Z17" s="114">
        <v>22500</v>
      </c>
      <c r="AA17" s="114">
        <v>0</v>
      </c>
      <c r="AB17" s="114">
        <v>0</v>
      </c>
      <c r="AC17" s="114">
        <v>644994.5</v>
      </c>
      <c r="AD17" s="114">
        <v>0</v>
      </c>
      <c r="AE17" s="114">
        <f>49142593.7+17228835.2</f>
        <v>66371428.900000006</v>
      </c>
      <c r="AF17" s="114">
        <v>0</v>
      </c>
      <c r="AG17" s="114">
        <v>0</v>
      </c>
      <c r="AH17" s="114">
        <v>459402.2</v>
      </c>
      <c r="AI17" s="114">
        <v>66521.399999999994</v>
      </c>
      <c r="AJ17" s="114">
        <f>6856110.6+3164426.6</f>
        <v>10020537.199999999</v>
      </c>
      <c r="AK17" s="114">
        <v>17373908.199999999</v>
      </c>
      <c r="AL17" s="114">
        <v>0</v>
      </c>
      <c r="AM17" s="114">
        <v>0</v>
      </c>
      <c r="AN17" s="114">
        <v>0</v>
      </c>
      <c r="AO17" s="114">
        <v>136717.29999999999</v>
      </c>
      <c r="AP17" s="114">
        <f>1136093.5+2117295</f>
        <v>3253388.5</v>
      </c>
      <c r="AQ17" s="114">
        <v>2465873.7000000002</v>
      </c>
      <c r="AR17" s="114">
        <v>0</v>
      </c>
      <c r="AS17" s="114">
        <v>64500</v>
      </c>
      <c r="AT17" s="114"/>
      <c r="AU17" s="114"/>
      <c r="AV17" s="114">
        <v>3000000</v>
      </c>
      <c r="AW17" s="114">
        <v>1157619.2</v>
      </c>
      <c r="AX17" s="114"/>
      <c r="AY17" s="114">
        <v>480.3</v>
      </c>
      <c r="AZ17" s="114">
        <v>0</v>
      </c>
      <c r="BA17" s="114">
        <v>0</v>
      </c>
      <c r="BB17" s="114">
        <v>1032000</v>
      </c>
      <c r="BC17" s="114">
        <f>117895.6+72932.9</f>
        <v>190828.5</v>
      </c>
      <c r="BD17" s="114">
        <v>494996</v>
      </c>
      <c r="BE17" s="114">
        <v>569814.6</v>
      </c>
      <c r="BF17" s="114">
        <v>0</v>
      </c>
      <c r="BG17" s="114">
        <v>0</v>
      </c>
      <c r="BH17" s="114">
        <v>0</v>
      </c>
      <c r="BI17" s="114">
        <v>969.5</v>
      </c>
      <c r="BJ17" s="114">
        <v>16906.3</v>
      </c>
      <c r="BK17" s="114" t="s">
        <v>922</v>
      </c>
      <c r="BL17" s="99">
        <v>0</v>
      </c>
      <c r="BM17" s="99">
        <v>0</v>
      </c>
      <c r="BN17" s="99">
        <v>6153.4000000000005</v>
      </c>
      <c r="BO17" s="99">
        <v>0</v>
      </c>
      <c r="BP17" s="99">
        <v>0</v>
      </c>
      <c r="BQ17" s="99">
        <v>10693.2</v>
      </c>
      <c r="BR17" s="99">
        <v>0</v>
      </c>
      <c r="BS17" s="99">
        <v>632</v>
      </c>
      <c r="BT17" s="99">
        <v>0</v>
      </c>
      <c r="BU17" s="99">
        <v>0</v>
      </c>
      <c r="BV17" s="99">
        <v>0</v>
      </c>
      <c r="BW17" s="99">
        <v>2726.9</v>
      </c>
      <c r="BX17" s="99">
        <v>0</v>
      </c>
      <c r="BY17" s="99">
        <v>0</v>
      </c>
      <c r="BZ17" s="99">
        <v>0</v>
      </c>
      <c r="CA17" s="99">
        <v>0</v>
      </c>
      <c r="CB17" s="99">
        <v>0</v>
      </c>
      <c r="CC17" s="99">
        <v>3402</v>
      </c>
      <c r="CD17" s="99">
        <v>0</v>
      </c>
      <c r="CE17" s="99">
        <v>0</v>
      </c>
      <c r="CF17" s="99">
        <v>0</v>
      </c>
      <c r="CG17" s="99">
        <v>0</v>
      </c>
      <c r="CH17" s="99">
        <v>45334.6</v>
      </c>
      <c r="CI17" s="99">
        <v>0</v>
      </c>
      <c r="CJ17" s="99">
        <v>0</v>
      </c>
      <c r="CK17" s="99">
        <v>2649.5</v>
      </c>
      <c r="CL17" s="99">
        <v>0</v>
      </c>
      <c r="CM17" s="99">
        <v>604370.20000000007</v>
      </c>
      <c r="CN17" s="99">
        <v>0</v>
      </c>
      <c r="CO17" s="99">
        <v>0</v>
      </c>
      <c r="CP17" s="99">
        <v>46540.4</v>
      </c>
      <c r="CQ17" s="99">
        <v>0</v>
      </c>
      <c r="CR17" s="99">
        <v>0</v>
      </c>
      <c r="CS17" s="99">
        <v>3764362.8000000003</v>
      </c>
      <c r="CT17" s="99"/>
      <c r="CU17" s="99"/>
      <c r="CV17" s="99"/>
      <c r="CW17" s="99"/>
      <c r="CX17" s="99"/>
      <c r="CY17" s="99"/>
      <c r="CZ17" s="99"/>
      <c r="DA17" s="99"/>
      <c r="DB17" s="99"/>
      <c r="DC17" s="99"/>
      <c r="DD17" s="99"/>
      <c r="DE17" s="99"/>
      <c r="DF17" s="99"/>
      <c r="DG17" s="99"/>
      <c r="DH17" s="99"/>
      <c r="DI17" s="99"/>
      <c r="DJ17" s="99"/>
      <c r="DK17" s="99"/>
      <c r="DL17" s="99"/>
      <c r="DM17" s="99"/>
      <c r="DN17" s="99"/>
      <c r="DO17" s="99"/>
      <c r="DP17" s="99">
        <v>7037.5</v>
      </c>
      <c r="DQ17" s="99">
        <v>2041.3</v>
      </c>
      <c r="DR17" s="99"/>
      <c r="DS17" s="99">
        <f>179409.4+68876.7</f>
        <v>248286.09999999998</v>
      </c>
      <c r="DT17" s="99">
        <v>39862.6</v>
      </c>
      <c r="DU17" s="99">
        <v>17855.599999999999</v>
      </c>
      <c r="DV17" s="99"/>
      <c r="DW17" s="99"/>
      <c r="DX17" s="99"/>
      <c r="DY17" s="99"/>
      <c r="DZ17" s="99"/>
      <c r="EA17" s="99"/>
      <c r="EB17" s="99"/>
      <c r="EC17" s="99"/>
      <c r="ED17" s="99"/>
      <c r="EE17" s="99"/>
      <c r="EF17" s="99"/>
      <c r="EG17" s="99"/>
      <c r="EH17" s="99"/>
      <c r="EI17" s="99">
        <v>2560</v>
      </c>
      <c r="EJ17" s="99">
        <v>0</v>
      </c>
      <c r="EK17" s="99">
        <v>0</v>
      </c>
      <c r="EL17" s="99">
        <v>0</v>
      </c>
      <c r="EM17" s="99">
        <v>0</v>
      </c>
      <c r="EN17" s="99">
        <v>0</v>
      </c>
      <c r="EO17" s="99">
        <v>5271.5</v>
      </c>
      <c r="EP17" s="99">
        <v>0</v>
      </c>
      <c r="EQ17" s="99">
        <v>3149</v>
      </c>
      <c r="ER17" s="99">
        <v>2041.9</v>
      </c>
      <c r="ES17" s="99">
        <v>0</v>
      </c>
      <c r="ET17" s="99">
        <v>22594.100000000002</v>
      </c>
      <c r="EU17" s="99"/>
      <c r="EV17" s="99">
        <v>4900</v>
      </c>
      <c r="EW17" s="99">
        <v>706.4</v>
      </c>
      <c r="EX17" s="99">
        <v>293.8</v>
      </c>
      <c r="EY17" s="99">
        <v>540</v>
      </c>
      <c r="EZ17" s="99">
        <v>190</v>
      </c>
      <c r="FA17" s="99">
        <v>422.5</v>
      </c>
      <c r="FB17" s="99">
        <v>80</v>
      </c>
      <c r="FC17" s="99">
        <v>0</v>
      </c>
      <c r="FD17" s="99">
        <v>0</v>
      </c>
      <c r="FE17" s="99">
        <v>0</v>
      </c>
      <c r="FF17" s="99">
        <v>0</v>
      </c>
      <c r="FG17" s="99">
        <v>0</v>
      </c>
      <c r="FH17" s="99">
        <v>0</v>
      </c>
      <c r="FI17" s="99">
        <v>0</v>
      </c>
      <c r="FJ17" s="99">
        <v>0</v>
      </c>
      <c r="FK17" s="99">
        <v>0</v>
      </c>
      <c r="FL17" s="99">
        <v>0</v>
      </c>
      <c r="FM17" s="99">
        <v>67956.3</v>
      </c>
      <c r="FN17" s="99">
        <v>1885.5</v>
      </c>
      <c r="FO17" s="99">
        <v>0</v>
      </c>
      <c r="FP17" s="99">
        <v>9397.5</v>
      </c>
      <c r="FQ17" s="99">
        <v>564.6</v>
      </c>
      <c r="FR17" s="99">
        <v>3670.8</v>
      </c>
      <c r="FS17" s="99">
        <v>0</v>
      </c>
      <c r="FT17" s="99">
        <v>0</v>
      </c>
      <c r="FU17" s="99">
        <v>0</v>
      </c>
      <c r="FV17" s="99">
        <v>37042.400000000001</v>
      </c>
      <c r="FW17" s="99">
        <v>0</v>
      </c>
      <c r="FX17" s="99">
        <v>0</v>
      </c>
      <c r="FY17" s="99">
        <v>0</v>
      </c>
      <c r="FZ17" s="99">
        <v>5957.3</v>
      </c>
      <c r="GA17" s="99">
        <v>459.7</v>
      </c>
      <c r="GB17" s="99"/>
      <c r="GC17" s="99"/>
      <c r="GD17" s="99">
        <v>24583</v>
      </c>
      <c r="GE17" s="99"/>
      <c r="GF17" s="99"/>
      <c r="GG17" s="99"/>
      <c r="GH17" s="99">
        <v>334620.59999999998</v>
      </c>
      <c r="GI17" s="99"/>
      <c r="GJ17" s="99">
        <v>0</v>
      </c>
      <c r="GK17" s="99">
        <v>1688.4</v>
      </c>
      <c r="GL17" s="99">
        <v>3177.6</v>
      </c>
      <c r="GM17" s="99"/>
      <c r="GN17" s="99"/>
      <c r="GO17" s="99"/>
      <c r="GP17" s="99"/>
      <c r="GQ17" s="99"/>
      <c r="GR17" s="99"/>
      <c r="GS17" s="99">
        <v>0</v>
      </c>
      <c r="GT17" s="99">
        <v>0</v>
      </c>
      <c r="GU17" s="99">
        <v>7191.9</v>
      </c>
      <c r="GV17" s="99">
        <v>0</v>
      </c>
      <c r="GW17" s="99">
        <v>0</v>
      </c>
      <c r="GX17" s="99">
        <v>0</v>
      </c>
      <c r="GY17" s="99">
        <v>0</v>
      </c>
      <c r="GZ17" s="99">
        <v>0</v>
      </c>
      <c r="HA17" s="99">
        <v>16589.900000000001</v>
      </c>
      <c r="HB17" s="99">
        <f>2217.8+5175</f>
        <v>7392.8</v>
      </c>
      <c r="HC17" s="99"/>
      <c r="HD17" s="99"/>
      <c r="HE17" s="99">
        <v>38802.6</v>
      </c>
      <c r="HF17" s="99">
        <v>0</v>
      </c>
      <c r="HG17" s="99">
        <v>2361.4</v>
      </c>
      <c r="HH17" s="99">
        <v>0</v>
      </c>
      <c r="HI17" s="99">
        <v>7373.9000000000005</v>
      </c>
      <c r="HJ17" s="99">
        <v>0</v>
      </c>
      <c r="HK17" s="99">
        <v>0</v>
      </c>
      <c r="HL17" s="99">
        <v>0</v>
      </c>
      <c r="HM17" s="99"/>
      <c r="HN17" s="99"/>
      <c r="HO17" s="99"/>
      <c r="HP17" s="99"/>
      <c r="HQ17" s="99"/>
      <c r="HR17" s="99"/>
      <c r="HS17" s="99"/>
      <c r="HT17" s="99"/>
      <c r="HU17" s="99"/>
      <c r="HV17" s="99"/>
      <c r="HW17" s="99">
        <v>21145</v>
      </c>
      <c r="HX17" s="99"/>
      <c r="HY17" s="99"/>
      <c r="HZ17" s="99">
        <v>0</v>
      </c>
      <c r="IA17" s="99">
        <v>5291.7</v>
      </c>
      <c r="IB17" s="99">
        <v>0</v>
      </c>
      <c r="IC17" s="99">
        <v>8215.5</v>
      </c>
      <c r="ID17" s="99">
        <v>96376.400000000009</v>
      </c>
      <c r="IE17" s="99">
        <v>0</v>
      </c>
      <c r="IF17" s="99">
        <v>0</v>
      </c>
      <c r="IG17" s="99">
        <v>0</v>
      </c>
      <c r="IH17" s="99">
        <v>52336.3</v>
      </c>
      <c r="II17" s="99">
        <v>0</v>
      </c>
      <c r="IJ17" s="99">
        <v>2000</v>
      </c>
      <c r="IK17" s="99">
        <v>0</v>
      </c>
      <c r="IL17" s="99">
        <v>0</v>
      </c>
      <c r="IM17" s="99">
        <v>29838.2</v>
      </c>
      <c r="IN17" s="99">
        <v>0</v>
      </c>
      <c r="IO17" s="99">
        <v>0</v>
      </c>
      <c r="IP17" s="99">
        <v>0</v>
      </c>
      <c r="IQ17" s="99">
        <v>0</v>
      </c>
      <c r="IR17" s="99">
        <v>8827571.4000000004</v>
      </c>
      <c r="IS17" s="99">
        <v>0</v>
      </c>
      <c r="IT17" s="99">
        <v>0</v>
      </c>
      <c r="IU17" s="99">
        <v>247305.7</v>
      </c>
      <c r="IV17" s="99"/>
      <c r="IW17" s="99">
        <v>0</v>
      </c>
      <c r="IX17" s="99">
        <v>0</v>
      </c>
      <c r="IY17" s="99">
        <v>0</v>
      </c>
      <c r="IZ17" s="99">
        <v>0</v>
      </c>
      <c r="JA17" s="99">
        <v>0</v>
      </c>
      <c r="JB17" s="99">
        <v>2663.4</v>
      </c>
      <c r="JC17" s="99">
        <v>20000</v>
      </c>
      <c r="JD17" s="103">
        <v>10379.800000000001</v>
      </c>
      <c r="JE17" s="103">
        <v>7575.9000000000005</v>
      </c>
      <c r="JF17" s="103">
        <v>17031.8</v>
      </c>
      <c r="JG17" s="103">
        <f>50268.2+15080.5</f>
        <v>65348.7</v>
      </c>
      <c r="JH17" s="103">
        <v>3477.3</v>
      </c>
      <c r="JI17" s="99">
        <v>23548.7</v>
      </c>
      <c r="JJ17" s="99">
        <v>300</v>
      </c>
      <c r="JK17" s="99">
        <v>1816.7</v>
      </c>
      <c r="JL17" s="99"/>
      <c r="JM17" s="99"/>
      <c r="JN17" s="99"/>
      <c r="JO17" s="99"/>
      <c r="JP17" s="99"/>
      <c r="JQ17" s="99"/>
      <c r="JR17" s="99"/>
      <c r="JS17" s="99"/>
      <c r="JT17" s="99"/>
      <c r="JU17" s="99"/>
      <c r="JV17" s="99"/>
      <c r="JW17" s="99"/>
      <c r="JX17" s="99"/>
      <c r="JY17" s="99"/>
      <c r="JZ17" s="99">
        <v>960000</v>
      </c>
      <c r="KA17" s="99">
        <v>4852.3</v>
      </c>
      <c r="KB17" s="99"/>
      <c r="KC17" s="99"/>
      <c r="KD17" s="99"/>
      <c r="KE17" s="99"/>
      <c r="KF17" s="99"/>
      <c r="KG17" s="99">
        <v>0</v>
      </c>
      <c r="KH17" s="99">
        <v>4627.8999999999996</v>
      </c>
      <c r="KI17" s="99">
        <v>2422.1</v>
      </c>
      <c r="KJ17" s="99">
        <v>14048458.600000001</v>
      </c>
      <c r="KK17" s="99">
        <v>0</v>
      </c>
      <c r="KL17" s="99">
        <v>1984.3</v>
      </c>
      <c r="KM17" s="99">
        <v>0</v>
      </c>
      <c r="KN17" s="99">
        <v>0</v>
      </c>
      <c r="KO17" s="99">
        <v>0</v>
      </c>
      <c r="KP17" s="99">
        <v>5157.2</v>
      </c>
      <c r="KQ17" s="99">
        <v>0</v>
      </c>
      <c r="KR17" s="99">
        <f>153313.2+65705.6</f>
        <v>219018.80000000002</v>
      </c>
      <c r="KS17" s="99">
        <v>0</v>
      </c>
      <c r="KT17" s="99">
        <v>0</v>
      </c>
      <c r="KU17" s="99">
        <v>175764.50000000003</v>
      </c>
      <c r="KV17" s="99">
        <v>21599.100000000002</v>
      </c>
      <c r="KW17" s="99">
        <v>0</v>
      </c>
      <c r="KX17" s="99">
        <v>612780</v>
      </c>
      <c r="KY17" s="99">
        <v>0</v>
      </c>
      <c r="KZ17" s="99">
        <v>4370.3</v>
      </c>
      <c r="LA17" s="99">
        <v>0</v>
      </c>
      <c r="LB17" s="99">
        <v>0</v>
      </c>
      <c r="LC17" s="99"/>
      <c r="LD17" s="99"/>
      <c r="LE17" s="99"/>
      <c r="LF17" s="99"/>
      <c r="LG17" s="99"/>
      <c r="LH17" s="99"/>
      <c r="LI17" s="99"/>
      <c r="LJ17" s="99"/>
      <c r="LK17" s="99"/>
      <c r="LL17" s="99"/>
      <c r="LM17" s="99"/>
      <c r="LN17" s="99"/>
      <c r="LO17" s="99"/>
      <c r="LP17" s="99"/>
      <c r="LQ17" s="99"/>
      <c r="LR17" s="99"/>
      <c r="LS17" s="99"/>
      <c r="LT17" s="99"/>
      <c r="LU17" s="99"/>
      <c r="LV17" s="99">
        <v>208845.2</v>
      </c>
      <c r="LW17" s="99"/>
      <c r="LX17" s="99">
        <v>2976.1</v>
      </c>
      <c r="LY17" s="99">
        <v>2555</v>
      </c>
      <c r="LZ17" s="99">
        <v>0</v>
      </c>
      <c r="MA17" s="99">
        <v>1369.5</v>
      </c>
      <c r="MB17" s="99">
        <v>0</v>
      </c>
      <c r="MC17" s="99">
        <v>0</v>
      </c>
      <c r="MD17" s="99">
        <v>22500</v>
      </c>
      <c r="ME17" s="99">
        <v>0</v>
      </c>
      <c r="MF17" s="99">
        <v>3780</v>
      </c>
      <c r="MG17" s="99">
        <v>0</v>
      </c>
      <c r="MH17" s="99">
        <v>65260.3</v>
      </c>
      <c r="MI17" s="99">
        <v>0</v>
      </c>
      <c r="MJ17" s="99">
        <v>22706.3</v>
      </c>
      <c r="MK17" s="99">
        <v>2489.2000000000003</v>
      </c>
      <c r="ML17" s="99">
        <v>25779.100000000002</v>
      </c>
      <c r="MM17" s="99">
        <v>5458.1</v>
      </c>
      <c r="MN17" s="99">
        <v>0</v>
      </c>
      <c r="MO17" s="99">
        <v>0</v>
      </c>
      <c r="MP17" s="99">
        <v>0</v>
      </c>
      <c r="MQ17" s="99">
        <v>0</v>
      </c>
      <c r="MR17" s="99">
        <v>0</v>
      </c>
      <c r="MS17" s="99">
        <v>16806.3</v>
      </c>
      <c r="MT17" s="99">
        <v>0</v>
      </c>
      <c r="MU17" s="99">
        <v>0</v>
      </c>
      <c r="MV17" s="99">
        <v>0</v>
      </c>
      <c r="MW17" s="99">
        <v>0</v>
      </c>
      <c r="MX17" s="99">
        <v>0</v>
      </c>
      <c r="MY17" s="99">
        <v>1733.1000000000001</v>
      </c>
      <c r="MZ17" s="99">
        <v>0</v>
      </c>
      <c r="NA17" s="99">
        <v>5678.3</v>
      </c>
      <c r="NB17" s="99">
        <v>26821.8</v>
      </c>
      <c r="NC17" s="99"/>
      <c r="ND17" s="99"/>
      <c r="NE17" s="99"/>
      <c r="NF17" s="99"/>
      <c r="NG17" s="99">
        <v>0</v>
      </c>
      <c r="NH17" s="99">
        <v>6653</v>
      </c>
      <c r="NI17" s="99">
        <v>3088.6</v>
      </c>
      <c r="NJ17" s="99">
        <v>0</v>
      </c>
      <c r="NK17" s="99">
        <v>0</v>
      </c>
      <c r="NL17" s="99">
        <v>0</v>
      </c>
      <c r="NM17" s="99">
        <v>70398.7</v>
      </c>
      <c r="NN17" s="99">
        <v>55023.8</v>
      </c>
      <c r="NO17" s="99">
        <v>0</v>
      </c>
      <c r="NP17" s="99">
        <v>0</v>
      </c>
      <c r="NQ17" s="99"/>
      <c r="NR17" s="99"/>
      <c r="NS17" s="99"/>
      <c r="NT17" s="99"/>
      <c r="NU17" s="99"/>
      <c r="NV17" s="99">
        <v>9256.4</v>
      </c>
      <c r="NW17" s="99">
        <v>0</v>
      </c>
      <c r="NX17" s="99">
        <v>1400</v>
      </c>
      <c r="NY17" s="99">
        <v>0</v>
      </c>
      <c r="NZ17" s="99">
        <v>0</v>
      </c>
      <c r="OA17" s="99">
        <v>0</v>
      </c>
      <c r="OB17" s="99"/>
      <c r="OC17" s="99"/>
      <c r="OD17" s="99">
        <v>0</v>
      </c>
      <c r="OE17" s="99">
        <v>0</v>
      </c>
      <c r="OF17" s="99">
        <v>0</v>
      </c>
      <c r="OG17" s="99">
        <v>0</v>
      </c>
      <c r="OH17" s="99">
        <v>20.3</v>
      </c>
      <c r="OI17" s="99">
        <v>0</v>
      </c>
      <c r="OJ17" s="99">
        <v>0</v>
      </c>
      <c r="OK17" s="99">
        <v>2085</v>
      </c>
      <c r="OL17" s="99">
        <v>22801.5</v>
      </c>
      <c r="OM17" s="99">
        <v>228370.7</v>
      </c>
      <c r="ON17" s="99">
        <v>0</v>
      </c>
      <c r="OO17" s="99">
        <v>1333</v>
      </c>
      <c r="OP17" s="99">
        <v>0</v>
      </c>
      <c r="OQ17" s="99">
        <v>7177.6</v>
      </c>
      <c r="OR17" s="99">
        <v>0</v>
      </c>
      <c r="OS17" s="99">
        <v>67615.5</v>
      </c>
      <c r="OT17" s="99">
        <v>14991.4</v>
      </c>
      <c r="OU17" s="99">
        <v>0</v>
      </c>
      <c r="OV17" s="99">
        <v>0</v>
      </c>
      <c r="OW17" s="99">
        <v>0</v>
      </c>
      <c r="OX17" s="99">
        <v>0</v>
      </c>
      <c r="OY17" s="99">
        <v>0</v>
      </c>
      <c r="OZ17" s="99">
        <v>9343003.3999999985</v>
      </c>
      <c r="PA17" s="99">
        <v>2634.3</v>
      </c>
      <c r="PB17" s="99">
        <v>13239</v>
      </c>
      <c r="PC17" s="99">
        <v>0</v>
      </c>
      <c r="PD17" s="99">
        <v>6345.7000000000007</v>
      </c>
      <c r="PE17" s="99">
        <v>0</v>
      </c>
      <c r="PF17" s="99">
        <v>0</v>
      </c>
      <c r="PG17" s="99">
        <v>45506.100000000006</v>
      </c>
      <c r="PH17" s="99">
        <v>0</v>
      </c>
      <c r="PI17" s="99">
        <v>4489.6000000000004</v>
      </c>
      <c r="PJ17" s="99">
        <v>0</v>
      </c>
      <c r="PK17" s="99">
        <v>0</v>
      </c>
      <c r="PL17" s="99">
        <v>0</v>
      </c>
      <c r="PM17" s="99">
        <v>0</v>
      </c>
      <c r="PN17" s="99">
        <v>0</v>
      </c>
      <c r="PO17" s="99">
        <v>0</v>
      </c>
      <c r="PP17" s="99">
        <v>0</v>
      </c>
      <c r="PQ17" s="99">
        <v>0</v>
      </c>
      <c r="PR17" s="99">
        <v>600</v>
      </c>
      <c r="PS17" s="99">
        <v>7600</v>
      </c>
      <c r="PT17" s="99">
        <v>0</v>
      </c>
      <c r="PU17" s="99">
        <v>0</v>
      </c>
      <c r="PV17" s="99">
        <v>0</v>
      </c>
      <c r="PW17" s="99">
        <v>255543.2</v>
      </c>
      <c r="PX17" s="99">
        <v>0</v>
      </c>
      <c r="PY17" s="99">
        <v>0</v>
      </c>
      <c r="PZ17" s="99">
        <v>192.4</v>
      </c>
      <c r="QA17" s="99">
        <v>0</v>
      </c>
      <c r="QB17" s="99">
        <v>300</v>
      </c>
      <c r="QC17" s="99">
        <v>14922</v>
      </c>
      <c r="QD17" s="99"/>
      <c r="QE17" s="99">
        <v>0</v>
      </c>
      <c r="QF17" s="99">
        <v>0.5</v>
      </c>
      <c r="QG17" s="99">
        <v>1328.8</v>
      </c>
      <c r="QH17" s="99">
        <v>0</v>
      </c>
      <c r="QI17" s="99">
        <v>131166.20000000001</v>
      </c>
      <c r="QJ17" s="99">
        <v>16266.4</v>
      </c>
      <c r="QK17" s="99">
        <v>0</v>
      </c>
      <c r="QL17" s="99">
        <v>0</v>
      </c>
      <c r="QM17" s="99">
        <v>12003.3</v>
      </c>
      <c r="QN17" s="99">
        <v>661.1</v>
      </c>
      <c r="QO17" s="99"/>
      <c r="QP17" s="99">
        <v>2252</v>
      </c>
      <c r="QQ17" s="99"/>
      <c r="QR17" s="99"/>
      <c r="QS17" s="99"/>
      <c r="QT17" s="99">
        <v>107500</v>
      </c>
      <c r="QU17" s="99">
        <v>17512</v>
      </c>
      <c r="QV17" s="99">
        <v>1300</v>
      </c>
      <c r="QW17" s="99">
        <v>8000</v>
      </c>
      <c r="QX17" s="99"/>
      <c r="QY17" s="99"/>
      <c r="QZ17" s="99">
        <v>325</v>
      </c>
      <c r="RA17" s="99"/>
      <c r="RB17" s="99"/>
      <c r="RC17" s="99"/>
      <c r="RD17" s="99"/>
      <c r="RE17" s="99"/>
      <c r="RF17" s="99"/>
      <c r="RG17" s="99"/>
      <c r="RH17" s="99"/>
      <c r="RI17" s="99"/>
      <c r="RJ17" s="99"/>
      <c r="RK17" s="99"/>
      <c r="RL17" s="99"/>
      <c r="RM17" s="99">
        <v>525.9</v>
      </c>
      <c r="RN17" s="99">
        <v>173.5</v>
      </c>
    </row>
    <row r="18" spans="1:482" s="60" customFormat="1" ht="23.25" customHeight="1" x14ac:dyDescent="0.2">
      <c r="A18" s="122" t="s">
        <v>742</v>
      </c>
      <c r="B18" s="176" t="s">
        <v>860</v>
      </c>
      <c r="C18" s="176"/>
      <c r="D18" s="116">
        <f t="shared" si="48"/>
        <v>19360235.799999993</v>
      </c>
      <c r="E18" s="114">
        <v>17722.5</v>
      </c>
      <c r="F18" s="114"/>
      <c r="G18" s="114">
        <v>474.8</v>
      </c>
      <c r="H18" s="114">
        <v>53144.5</v>
      </c>
      <c r="I18" s="114">
        <v>10661.7</v>
      </c>
      <c r="J18" s="114"/>
      <c r="K18" s="114">
        <v>7454.7</v>
      </c>
      <c r="L18" s="114">
        <v>4963.7</v>
      </c>
      <c r="M18" s="114">
        <f>55481.8+34918.2</f>
        <v>90400</v>
      </c>
      <c r="N18" s="114"/>
      <c r="O18" s="114">
        <v>992.2</v>
      </c>
      <c r="P18" s="114"/>
      <c r="Q18" s="114">
        <f>7715+3553.5</f>
        <v>11268.5</v>
      </c>
      <c r="R18" s="114">
        <v>36470.9</v>
      </c>
      <c r="S18" s="114">
        <v>17603.8</v>
      </c>
      <c r="T18" s="114">
        <f>11127.4+172.2</f>
        <v>11299.6</v>
      </c>
      <c r="U18" s="114"/>
      <c r="V18" s="114">
        <v>46415.1</v>
      </c>
      <c r="W18" s="114"/>
      <c r="X18" s="114">
        <v>164481.1</v>
      </c>
      <c r="Y18" s="114">
        <v>46961.8</v>
      </c>
      <c r="Z18" s="114">
        <f>37130.2+8686.5</f>
        <v>45816.7</v>
      </c>
      <c r="AA18" s="114">
        <v>516.20000000000005</v>
      </c>
      <c r="AB18" s="114"/>
      <c r="AC18" s="114">
        <v>1350.3</v>
      </c>
      <c r="AD18" s="114"/>
      <c r="AE18" s="114">
        <f>595105+55611.3</f>
        <v>650716.30000000005</v>
      </c>
      <c r="AF18" s="114"/>
      <c r="AG18" s="114">
        <v>21928</v>
      </c>
      <c r="AH18" s="114">
        <v>24127</v>
      </c>
      <c r="AI18" s="114">
        <v>5934.2</v>
      </c>
      <c r="AJ18" s="114">
        <v>207617</v>
      </c>
      <c r="AK18" s="114">
        <f>128314.8+51248.5</f>
        <v>179563.3</v>
      </c>
      <c r="AL18" s="114">
        <v>3713.9</v>
      </c>
      <c r="AM18" s="114">
        <f>116366.1+82018.1+52735.9</f>
        <v>251120.1</v>
      </c>
      <c r="AN18" s="114">
        <v>6734.8</v>
      </c>
      <c r="AO18" s="114">
        <v>23392</v>
      </c>
      <c r="AP18" s="114">
        <v>251293.9</v>
      </c>
      <c r="AQ18" s="114"/>
      <c r="AR18" s="114">
        <v>27537.200000000001</v>
      </c>
      <c r="AS18" s="114">
        <v>7207</v>
      </c>
      <c r="AT18" s="114">
        <v>272256.59999999998</v>
      </c>
      <c r="AU18" s="114"/>
      <c r="AV18" s="114">
        <v>145739.4</v>
      </c>
      <c r="AW18" s="114">
        <v>35772.5</v>
      </c>
      <c r="AX18" s="114">
        <f>9231.2+13036.9</f>
        <v>22268.1</v>
      </c>
      <c r="AY18" s="114">
        <v>273927.8</v>
      </c>
      <c r="AZ18" s="114">
        <v>41275.4</v>
      </c>
      <c r="BA18" s="114"/>
      <c r="BB18" s="114">
        <v>22751.3</v>
      </c>
      <c r="BC18" s="114">
        <v>343931.6</v>
      </c>
      <c r="BD18" s="114"/>
      <c r="BE18" s="114"/>
      <c r="BF18" s="114">
        <v>7438.5</v>
      </c>
      <c r="BG18" s="114">
        <v>25720.7</v>
      </c>
      <c r="BH18" s="114">
        <v>7910.7</v>
      </c>
      <c r="BI18" s="114">
        <v>273.2</v>
      </c>
      <c r="BJ18" s="114">
        <v>3763.9</v>
      </c>
      <c r="BK18" s="114" t="s">
        <v>923</v>
      </c>
      <c r="BL18" s="99"/>
      <c r="BM18" s="99">
        <v>41525.199999999997</v>
      </c>
      <c r="BN18" s="99">
        <v>3731</v>
      </c>
      <c r="BO18" s="99">
        <v>10658.7</v>
      </c>
      <c r="BP18" s="99">
        <v>12244.3</v>
      </c>
      <c r="BQ18" s="99">
        <v>23977.7</v>
      </c>
      <c r="BR18" s="99">
        <v>10116</v>
      </c>
      <c r="BS18" s="99"/>
      <c r="BT18" s="99">
        <v>1155.8</v>
      </c>
      <c r="BU18" s="99">
        <v>1249.9000000000001</v>
      </c>
      <c r="BV18" s="99">
        <v>60543.4</v>
      </c>
      <c r="BW18" s="99"/>
      <c r="BX18" s="99"/>
      <c r="BY18" s="99">
        <v>65987.199999999997</v>
      </c>
      <c r="BZ18" s="99"/>
      <c r="CA18" s="99">
        <v>13287.9</v>
      </c>
      <c r="CB18" s="99"/>
      <c r="CC18" s="99">
        <f>697467.3+140872.2+122201.5</f>
        <v>960541</v>
      </c>
      <c r="CD18" s="99"/>
      <c r="CE18" s="99">
        <v>7327.5</v>
      </c>
      <c r="CF18" s="99">
        <v>14643.3</v>
      </c>
      <c r="CG18" s="99">
        <v>26647.5</v>
      </c>
      <c r="CH18" s="99"/>
      <c r="CI18" s="99">
        <v>9827.7999999999993</v>
      </c>
      <c r="CJ18" s="99">
        <v>52630</v>
      </c>
      <c r="CK18" s="99">
        <v>505.2</v>
      </c>
      <c r="CL18" s="99"/>
      <c r="CM18" s="99">
        <v>24311</v>
      </c>
      <c r="CN18" s="99"/>
      <c r="CO18" s="99">
        <f>19941.2+2982.5</f>
        <v>22923.7</v>
      </c>
      <c r="CP18" s="99">
        <v>37357.4</v>
      </c>
      <c r="CQ18" s="99">
        <v>4744.8999999999996</v>
      </c>
      <c r="CR18" s="99">
        <v>7506</v>
      </c>
      <c r="CS18" s="99">
        <v>1314802.3</v>
      </c>
      <c r="CT18" s="99">
        <v>52896.1</v>
      </c>
      <c r="CU18" s="99">
        <v>20445.7</v>
      </c>
      <c r="CV18" s="99">
        <v>999710.3</v>
      </c>
      <c r="CW18" s="99">
        <v>39793.800000000003</v>
      </c>
      <c r="CX18" s="99">
        <v>11035.7</v>
      </c>
      <c r="CY18" s="99"/>
      <c r="CZ18" s="99">
        <v>9934.9</v>
      </c>
      <c r="DA18" s="99">
        <v>486661.4</v>
      </c>
      <c r="DB18" s="99">
        <v>239596.2</v>
      </c>
      <c r="DC18" s="99">
        <v>32599.4</v>
      </c>
      <c r="DD18" s="99">
        <v>5235</v>
      </c>
      <c r="DE18" s="99">
        <v>23460.5</v>
      </c>
      <c r="DF18" s="99">
        <v>34847.300000000003</v>
      </c>
      <c r="DG18" s="99">
        <v>175910.6</v>
      </c>
      <c r="DH18" s="99">
        <v>12353.8</v>
      </c>
      <c r="DI18" s="99">
        <v>394914</v>
      </c>
      <c r="DJ18" s="99">
        <v>11790.5</v>
      </c>
      <c r="DK18" s="99">
        <v>36824.6</v>
      </c>
      <c r="DL18" s="99"/>
      <c r="DM18" s="99"/>
      <c r="DN18" s="99"/>
      <c r="DO18" s="99"/>
      <c r="DP18" s="99">
        <v>1823.4</v>
      </c>
      <c r="DQ18" s="99">
        <v>39057.599999999999</v>
      </c>
      <c r="DR18" s="99">
        <v>233539.4</v>
      </c>
      <c r="DS18" s="99">
        <v>15772.5</v>
      </c>
      <c r="DT18" s="99">
        <v>236</v>
      </c>
      <c r="DU18" s="99">
        <v>9865.4</v>
      </c>
      <c r="DV18" s="99">
        <v>235000.3</v>
      </c>
      <c r="DW18" s="99"/>
      <c r="DX18" s="99">
        <v>13510</v>
      </c>
      <c r="DY18" s="99">
        <f>24251.5+11551.2</f>
        <v>35802.699999999997</v>
      </c>
      <c r="DZ18" s="99">
        <v>19551.099999999999</v>
      </c>
      <c r="EA18" s="99">
        <v>19551.099999999999</v>
      </c>
      <c r="EB18" s="99">
        <v>1482370.8</v>
      </c>
      <c r="EC18" s="99">
        <v>96825</v>
      </c>
      <c r="ED18" s="99">
        <v>39793.800000000003</v>
      </c>
      <c r="EE18" s="99">
        <v>19130</v>
      </c>
      <c r="EF18" s="99">
        <f>171393.9+15325.2</f>
        <v>186719.1</v>
      </c>
      <c r="EG18" s="99">
        <v>146182</v>
      </c>
      <c r="EH18" s="99">
        <v>72749</v>
      </c>
      <c r="EI18" s="99">
        <v>494044.3</v>
      </c>
      <c r="EJ18" s="99">
        <v>4153.5</v>
      </c>
      <c r="EK18" s="99">
        <v>30926.7</v>
      </c>
      <c r="EL18" s="99">
        <f>23612.5+9.1</f>
        <v>23621.599999999999</v>
      </c>
      <c r="EM18" s="99"/>
      <c r="EN18" s="99">
        <v>20780.099999999999</v>
      </c>
      <c r="EO18" s="99">
        <v>7363.1</v>
      </c>
      <c r="EP18" s="99">
        <v>1477.7</v>
      </c>
      <c r="EQ18" s="99">
        <v>2318.9</v>
      </c>
      <c r="ER18" s="99">
        <f>279491.5+565138.2</f>
        <v>844629.7</v>
      </c>
      <c r="ES18" s="99"/>
      <c r="ET18" s="99">
        <v>2090.4</v>
      </c>
      <c r="EU18" s="99">
        <f>28000.3+33424.2</f>
        <v>61424.5</v>
      </c>
      <c r="EV18" s="99">
        <v>851.3</v>
      </c>
      <c r="EW18" s="99"/>
      <c r="EX18" s="99">
        <v>1893.6</v>
      </c>
      <c r="EY18" s="99">
        <v>35.9</v>
      </c>
      <c r="EZ18" s="99"/>
      <c r="FA18" s="99"/>
      <c r="FB18" s="99"/>
      <c r="FC18" s="99"/>
      <c r="FD18" s="99">
        <v>332.3</v>
      </c>
      <c r="FE18" s="99">
        <v>209</v>
      </c>
      <c r="FF18" s="99"/>
      <c r="FG18" s="99">
        <v>243.5</v>
      </c>
      <c r="FH18" s="99">
        <v>10377.799999999999</v>
      </c>
      <c r="FI18" s="99">
        <v>178.9</v>
      </c>
      <c r="FJ18" s="99"/>
      <c r="FK18" s="99">
        <v>2337.4</v>
      </c>
      <c r="FL18" s="99"/>
      <c r="FM18" s="99"/>
      <c r="FN18" s="99">
        <v>3305</v>
      </c>
      <c r="FO18" s="99"/>
      <c r="FP18" s="99">
        <v>23624.7</v>
      </c>
      <c r="FQ18" s="99">
        <v>1845.2</v>
      </c>
      <c r="FR18" s="99">
        <v>8375.1</v>
      </c>
      <c r="FS18" s="99"/>
      <c r="FT18" s="99">
        <f>69142+8856.9</f>
        <v>77998.899999999994</v>
      </c>
      <c r="FU18" s="99">
        <v>3292.8</v>
      </c>
      <c r="FV18" s="99">
        <v>6269</v>
      </c>
      <c r="FW18" s="99">
        <v>4634.5</v>
      </c>
      <c r="FX18" s="99">
        <v>26358.6</v>
      </c>
      <c r="FY18" s="99">
        <v>5105.3999999999996</v>
      </c>
      <c r="FZ18" s="99">
        <v>7390</v>
      </c>
      <c r="GA18" s="99"/>
      <c r="GB18" s="99"/>
      <c r="GC18" s="99">
        <f>1099.2+4050</f>
        <v>5149.2</v>
      </c>
      <c r="GD18" s="99"/>
      <c r="GE18" s="99">
        <v>166724.79999999999</v>
      </c>
      <c r="GF18" s="99">
        <v>18496.7</v>
      </c>
      <c r="GG18" s="99">
        <v>14512.7</v>
      </c>
      <c r="GH18" s="99">
        <v>16626.5</v>
      </c>
      <c r="GI18" s="99">
        <v>42901.1</v>
      </c>
      <c r="GJ18" s="99">
        <v>36097.199999999997</v>
      </c>
      <c r="GK18" s="99">
        <f>3836.3+1113</f>
        <v>4949.3</v>
      </c>
      <c r="GL18" s="99">
        <v>1914.4</v>
      </c>
      <c r="GM18" s="99">
        <v>8006.4</v>
      </c>
      <c r="GN18" s="99">
        <v>21799.4</v>
      </c>
      <c r="GO18" s="99">
        <v>16244.8</v>
      </c>
      <c r="GP18" s="99">
        <v>8557</v>
      </c>
      <c r="GQ18" s="99">
        <v>94143.5</v>
      </c>
      <c r="GR18" s="99">
        <v>2578</v>
      </c>
      <c r="GS18" s="99"/>
      <c r="GT18" s="99">
        <v>3736.2</v>
      </c>
      <c r="GU18" s="99">
        <v>9832.9</v>
      </c>
      <c r="GV18" s="99" t="s">
        <v>744</v>
      </c>
      <c r="GW18" s="99"/>
      <c r="GX18" s="99">
        <v>1020.4</v>
      </c>
      <c r="GY18" s="99">
        <v>10231.799999999999</v>
      </c>
      <c r="GZ18" s="99"/>
      <c r="HA18" s="99"/>
      <c r="HB18" s="99">
        <v>2861.6</v>
      </c>
      <c r="HC18" s="99"/>
      <c r="HD18" s="99">
        <v>104996.9</v>
      </c>
      <c r="HE18" s="99">
        <v>7511.3</v>
      </c>
      <c r="HF18" s="99"/>
      <c r="HG18" s="99">
        <v>150</v>
      </c>
      <c r="HH18" s="99">
        <v>11991.3</v>
      </c>
      <c r="HI18" s="99">
        <v>40526.5</v>
      </c>
      <c r="HJ18" s="99"/>
      <c r="HK18" s="99"/>
      <c r="HL18" s="99"/>
      <c r="HM18" s="99">
        <f>47945.9+18811.4</f>
        <v>66757.3</v>
      </c>
      <c r="HN18" s="99">
        <v>8324.5</v>
      </c>
      <c r="HO18" s="99">
        <v>140156.70000000001</v>
      </c>
      <c r="HP18" s="99">
        <v>128938.6</v>
      </c>
      <c r="HQ18" s="99">
        <v>24325.1</v>
      </c>
      <c r="HR18" s="99">
        <v>108755.9</v>
      </c>
      <c r="HS18" s="99">
        <v>44429.2</v>
      </c>
      <c r="HT18" s="99">
        <f>34635+11674.3+16750.2</f>
        <v>63059.5</v>
      </c>
      <c r="HU18" s="99">
        <v>2570.5</v>
      </c>
      <c r="HV18" s="99">
        <v>21498.5</v>
      </c>
      <c r="HW18" s="99">
        <v>14470.4</v>
      </c>
      <c r="HX18" s="99">
        <v>11448.8</v>
      </c>
      <c r="HY18" s="99">
        <v>21525</v>
      </c>
      <c r="HZ18" s="99">
        <v>75543.199999999997</v>
      </c>
      <c r="IA18" s="99">
        <v>9330.9</v>
      </c>
      <c r="IB18" s="99">
        <v>12997.7</v>
      </c>
      <c r="IC18" s="99">
        <v>5443.5</v>
      </c>
      <c r="ID18" s="99"/>
      <c r="IE18" s="99"/>
      <c r="IF18" s="99">
        <v>597.6</v>
      </c>
      <c r="IG18" s="99">
        <v>103439</v>
      </c>
      <c r="IH18" s="99"/>
      <c r="II18" s="99">
        <v>15353.4</v>
      </c>
      <c r="IJ18" s="99"/>
      <c r="IK18" s="99">
        <v>141978.1</v>
      </c>
      <c r="IL18" s="99">
        <v>8066.5</v>
      </c>
      <c r="IM18" s="99">
        <v>10399.1</v>
      </c>
      <c r="IN18" s="99">
        <v>2456.9</v>
      </c>
      <c r="IO18" s="99">
        <v>14317.6</v>
      </c>
      <c r="IP18" s="99"/>
      <c r="IQ18" s="99">
        <v>3292.8</v>
      </c>
      <c r="IR18" s="99">
        <v>28391</v>
      </c>
      <c r="IS18" s="99">
        <v>3208.9</v>
      </c>
      <c r="IT18" s="99">
        <v>141882.70000000001</v>
      </c>
      <c r="IU18" s="99"/>
      <c r="IV18" s="99">
        <v>761512.8</v>
      </c>
      <c r="IW18" s="99"/>
      <c r="IX18" s="99">
        <v>15302.6</v>
      </c>
      <c r="IY18" s="99">
        <v>3917.2</v>
      </c>
      <c r="IZ18" s="99"/>
      <c r="JA18" s="99">
        <v>2787.6</v>
      </c>
      <c r="JB18" s="99">
        <v>7107.7</v>
      </c>
      <c r="JC18" s="99">
        <v>1756.6</v>
      </c>
      <c r="JD18" s="99">
        <v>8127.8</v>
      </c>
      <c r="JE18" s="99"/>
      <c r="JF18" s="99"/>
      <c r="JG18" s="99"/>
      <c r="JH18" s="99">
        <v>2375.5</v>
      </c>
      <c r="JI18" s="99">
        <v>1960.9</v>
      </c>
      <c r="JJ18" s="99">
        <v>10672.8</v>
      </c>
      <c r="JK18" s="99"/>
      <c r="JL18" s="99">
        <v>21045.7</v>
      </c>
      <c r="JM18" s="99">
        <v>22451.599999999999</v>
      </c>
      <c r="JN18" s="99">
        <v>5688.5</v>
      </c>
      <c r="JO18" s="99">
        <v>3324.1</v>
      </c>
      <c r="JP18" s="99">
        <v>9454.1</v>
      </c>
      <c r="JQ18" s="99">
        <v>12337.9</v>
      </c>
      <c r="JR18" s="99">
        <f>17311.3+1702.3</f>
        <v>19013.599999999999</v>
      </c>
      <c r="JS18" s="99">
        <v>13508.7</v>
      </c>
      <c r="JT18" s="99">
        <v>26533.9</v>
      </c>
      <c r="JU18" s="99">
        <f>12375.8+47895.1</f>
        <v>60270.899999999994</v>
      </c>
      <c r="JV18" s="99">
        <v>15482.9</v>
      </c>
      <c r="JW18" s="99"/>
      <c r="JX18" s="99">
        <v>3744.1</v>
      </c>
      <c r="JY18" s="99">
        <v>1685.1</v>
      </c>
      <c r="JZ18" s="99">
        <v>3983.1</v>
      </c>
      <c r="KA18" s="99"/>
      <c r="KB18" s="99">
        <v>12736.8</v>
      </c>
      <c r="KC18" s="99">
        <v>36824.6</v>
      </c>
      <c r="KD18" s="99">
        <v>30076.5</v>
      </c>
      <c r="KE18" s="99">
        <v>3694</v>
      </c>
      <c r="KF18" s="99">
        <v>14024.3</v>
      </c>
      <c r="KG18" s="99"/>
      <c r="KH18" s="99">
        <v>1767</v>
      </c>
      <c r="KI18" s="99">
        <v>422.9</v>
      </c>
      <c r="KJ18" s="99">
        <v>25517.4</v>
      </c>
      <c r="KK18" s="99"/>
      <c r="KL18" s="99"/>
      <c r="KM18" s="99"/>
      <c r="KN18" s="99">
        <v>61035.9</v>
      </c>
      <c r="KO18" s="99">
        <v>579.6</v>
      </c>
      <c r="KP18" s="99">
        <v>1821.7</v>
      </c>
      <c r="KQ18" s="99">
        <v>27709.9</v>
      </c>
      <c r="KR18" s="99">
        <v>2413.5</v>
      </c>
      <c r="KS18" s="99"/>
      <c r="KT18" s="99">
        <v>19859</v>
      </c>
      <c r="KU18" s="99"/>
      <c r="KV18" s="99">
        <v>432.5</v>
      </c>
      <c r="KW18" s="99"/>
      <c r="KX18" s="99">
        <v>32065.1</v>
      </c>
      <c r="KY18" s="99">
        <f>21164+126472.6</f>
        <v>147636.6</v>
      </c>
      <c r="KZ18" s="99">
        <v>3885.2</v>
      </c>
      <c r="LA18" s="99">
        <v>13343.9</v>
      </c>
      <c r="LB18" s="99">
        <v>9266.7999999999993</v>
      </c>
      <c r="LC18" s="99">
        <v>65010.2</v>
      </c>
      <c r="LD18" s="99">
        <v>27468.9</v>
      </c>
      <c r="LE18" s="99">
        <v>23181.1</v>
      </c>
      <c r="LF18" s="99">
        <v>14422.7</v>
      </c>
      <c r="LG18" s="99">
        <v>1464.4</v>
      </c>
      <c r="LH18" s="99">
        <v>182154.1</v>
      </c>
      <c r="LI18" s="99">
        <v>43598.5</v>
      </c>
      <c r="LJ18" s="99">
        <v>8024.9</v>
      </c>
      <c r="LK18" s="99">
        <v>26954.9</v>
      </c>
      <c r="LL18" s="99">
        <v>77703</v>
      </c>
      <c r="LM18" s="99">
        <v>44136.800000000003</v>
      </c>
      <c r="LN18" s="99">
        <v>6222.7</v>
      </c>
      <c r="LO18" s="99">
        <v>14392.6</v>
      </c>
      <c r="LP18" s="99">
        <v>997.8</v>
      </c>
      <c r="LQ18" s="99">
        <v>134953.79999999999</v>
      </c>
      <c r="LR18" s="99">
        <v>7922.3</v>
      </c>
      <c r="LS18" s="99">
        <v>14135.5</v>
      </c>
      <c r="LT18" s="99"/>
      <c r="LU18" s="99">
        <v>1067</v>
      </c>
      <c r="LV18" s="99">
        <v>79599.5</v>
      </c>
      <c r="LW18" s="99">
        <v>12161.9</v>
      </c>
      <c r="LX18" s="99">
        <v>5511.3</v>
      </c>
      <c r="LY18" s="99"/>
      <c r="LZ18" s="99">
        <v>558.70000000000005</v>
      </c>
      <c r="MA18" s="99">
        <v>2594.1999999999998</v>
      </c>
      <c r="MB18" s="99">
        <v>6234.5</v>
      </c>
      <c r="MC18" s="99">
        <v>836.9</v>
      </c>
      <c r="MD18" s="99">
        <v>2229.6</v>
      </c>
      <c r="ME18" s="99">
        <v>12864.9</v>
      </c>
      <c r="MF18" s="99">
        <v>12751.5</v>
      </c>
      <c r="MG18" s="99"/>
      <c r="MH18" s="99">
        <v>14529</v>
      </c>
      <c r="MI18" s="99">
        <v>243.7</v>
      </c>
      <c r="MJ18" s="99">
        <v>18159.5</v>
      </c>
      <c r="MK18" s="99">
        <v>8267.1</v>
      </c>
      <c r="ML18" s="99">
        <v>5565.4</v>
      </c>
      <c r="MM18" s="99"/>
      <c r="MN18" s="99">
        <v>1231</v>
      </c>
      <c r="MO18" s="99">
        <v>2415.6999999999998</v>
      </c>
      <c r="MP18" s="99">
        <v>1437</v>
      </c>
      <c r="MQ18" s="99">
        <v>9117</v>
      </c>
      <c r="MR18" s="99"/>
      <c r="MS18" s="99">
        <v>4828.2</v>
      </c>
      <c r="MT18" s="99">
        <v>368.6</v>
      </c>
      <c r="MU18" s="99">
        <v>11701</v>
      </c>
      <c r="MV18" s="99">
        <v>1017</v>
      </c>
      <c r="MW18" s="99">
        <v>4682.1000000000004</v>
      </c>
      <c r="MX18" s="99"/>
      <c r="MY18" s="99"/>
      <c r="MZ18" s="99"/>
      <c r="NA18" s="99"/>
      <c r="NB18" s="99">
        <v>942</v>
      </c>
      <c r="NC18" s="99">
        <v>8427.2999999999993</v>
      </c>
      <c r="ND18" s="99">
        <v>1997.7</v>
      </c>
      <c r="NE18" s="99">
        <v>18151.3</v>
      </c>
      <c r="NF18" s="99"/>
      <c r="NG18" s="99"/>
      <c r="NH18" s="99">
        <v>1804.5</v>
      </c>
      <c r="NI18" s="99"/>
      <c r="NJ18" s="99"/>
      <c r="NK18" s="99">
        <f>2501.9+1794.3+523.4</f>
        <v>4819.5999999999995</v>
      </c>
      <c r="NL18" s="99">
        <f>107702.5+6898.8</f>
        <v>114601.3</v>
      </c>
      <c r="NM18" s="99">
        <f>27333.2+6555.3+18027.1</f>
        <v>51915.6</v>
      </c>
      <c r="NN18" s="99">
        <v>12848.6</v>
      </c>
      <c r="NO18" s="99"/>
      <c r="NP18" s="99">
        <v>1247.3</v>
      </c>
      <c r="NQ18" s="99">
        <v>668.7</v>
      </c>
      <c r="NR18" s="99">
        <v>8188.2</v>
      </c>
      <c r="NS18" s="99">
        <v>55520.9</v>
      </c>
      <c r="NT18" s="99">
        <v>17107.099999999999</v>
      </c>
      <c r="NU18" s="99">
        <v>3837.2</v>
      </c>
      <c r="NV18" s="99"/>
      <c r="NW18" s="99"/>
      <c r="NX18" s="99">
        <v>2074</v>
      </c>
      <c r="NY18" s="99"/>
      <c r="NZ18" s="99">
        <v>4760.8999999999996</v>
      </c>
      <c r="OA18" s="99">
        <f>2726.1+1606.1</f>
        <v>4332.2</v>
      </c>
      <c r="OB18" s="99">
        <v>17290.900000000001</v>
      </c>
      <c r="OC18" s="99">
        <v>205614.9</v>
      </c>
      <c r="OD18" s="99">
        <v>2053.9</v>
      </c>
      <c r="OE18" s="99"/>
      <c r="OF18" s="99">
        <v>6315.9</v>
      </c>
      <c r="OG18" s="99">
        <v>9426.2999999999993</v>
      </c>
      <c r="OH18" s="99"/>
      <c r="OI18" s="99"/>
      <c r="OJ18" s="99"/>
      <c r="OK18" s="99"/>
      <c r="OL18" s="99">
        <v>631.9</v>
      </c>
      <c r="OM18" s="99">
        <v>1145</v>
      </c>
      <c r="ON18" s="99">
        <v>432.2</v>
      </c>
      <c r="OO18" s="99">
        <v>189.5</v>
      </c>
      <c r="OP18" s="99">
        <v>397.5</v>
      </c>
      <c r="OQ18" s="99">
        <v>91.8</v>
      </c>
      <c r="OR18" s="99" t="s">
        <v>743</v>
      </c>
      <c r="OS18" s="99"/>
      <c r="OT18" s="99">
        <v>3862.6</v>
      </c>
      <c r="OU18" s="99"/>
      <c r="OV18" s="99"/>
      <c r="OW18" s="99"/>
      <c r="OX18" s="99"/>
      <c r="OY18" s="99"/>
      <c r="OZ18" s="99"/>
      <c r="PA18" s="99"/>
      <c r="PB18" s="99">
        <v>16224.9</v>
      </c>
      <c r="PC18" s="99"/>
      <c r="PD18" s="99"/>
      <c r="PE18" s="99">
        <v>4147.6000000000004</v>
      </c>
      <c r="PF18" s="99"/>
      <c r="PG18" s="99">
        <v>396</v>
      </c>
      <c r="PH18" s="99">
        <v>5054.2</v>
      </c>
      <c r="PI18" s="99">
        <v>176.8</v>
      </c>
      <c r="PJ18" s="99">
        <v>764.5</v>
      </c>
      <c r="PK18" s="99"/>
      <c r="PL18" s="99">
        <v>636.79999999999995</v>
      </c>
      <c r="PM18" s="99">
        <v>1016.4</v>
      </c>
      <c r="PN18" s="99"/>
      <c r="PO18" s="99">
        <v>527.70000000000005</v>
      </c>
      <c r="PP18" s="99">
        <v>1963.2</v>
      </c>
      <c r="PQ18" s="99">
        <v>4971.5</v>
      </c>
      <c r="PR18" s="99">
        <v>170.9</v>
      </c>
      <c r="PS18" s="99">
        <v>13303.3</v>
      </c>
      <c r="PT18" s="99"/>
      <c r="PU18" s="99">
        <v>13321.7</v>
      </c>
      <c r="PV18" s="99">
        <v>10369.700000000001</v>
      </c>
      <c r="PW18" s="99">
        <f>20392.8+10598.5</f>
        <v>30991.3</v>
      </c>
      <c r="PX18" s="99">
        <v>5740.4</v>
      </c>
      <c r="PY18" s="99"/>
      <c r="PZ18" s="99"/>
      <c r="QA18" s="99">
        <v>689810.9</v>
      </c>
      <c r="QB18" s="99"/>
      <c r="QC18" s="99"/>
      <c r="QD18" s="99">
        <v>122124.2</v>
      </c>
      <c r="QE18" s="99"/>
      <c r="QF18" s="99">
        <v>20892.3</v>
      </c>
      <c r="QG18" s="99">
        <f>715.8+1550.8</f>
        <v>2266.6</v>
      </c>
      <c r="QH18" s="99">
        <v>2289</v>
      </c>
      <c r="QI18" s="99"/>
      <c r="QJ18" s="99">
        <v>6618.5</v>
      </c>
      <c r="QK18" s="99">
        <v>5787.1</v>
      </c>
      <c r="QL18" s="99">
        <v>991.8</v>
      </c>
      <c r="QM18" s="99">
        <v>487.3</v>
      </c>
      <c r="QN18" s="99">
        <v>749.3</v>
      </c>
      <c r="QO18" s="99">
        <f>202728.8+193892.4</f>
        <v>396621.19999999995</v>
      </c>
      <c r="QP18" s="99">
        <v>5503.1</v>
      </c>
      <c r="QQ18" s="99">
        <v>10807.1</v>
      </c>
      <c r="QR18" s="99">
        <v>21549.9</v>
      </c>
      <c r="QS18" s="99"/>
      <c r="QT18" s="99"/>
      <c r="QU18" s="99"/>
      <c r="QV18" s="99"/>
      <c r="QW18" s="99"/>
      <c r="QX18" s="99"/>
      <c r="QY18" s="99">
        <v>3315.4</v>
      </c>
      <c r="QZ18" s="99"/>
      <c r="RA18" s="99"/>
      <c r="RB18" s="99">
        <v>187.2</v>
      </c>
      <c r="RC18" s="99"/>
      <c r="RD18" s="99"/>
      <c r="RE18" s="99">
        <v>3461.2</v>
      </c>
      <c r="RF18" s="99"/>
      <c r="RG18" s="99"/>
      <c r="RH18" s="99"/>
      <c r="RI18" s="99">
        <v>191.3</v>
      </c>
      <c r="RJ18" s="99">
        <v>379.5</v>
      </c>
      <c r="RK18" s="99">
        <v>25167.200000000001</v>
      </c>
      <c r="RL18" s="99">
        <v>695.3</v>
      </c>
      <c r="RM18" s="99">
        <v>336.9</v>
      </c>
      <c r="RN18" s="99"/>
    </row>
    <row r="19" spans="1:482" s="60" customFormat="1" ht="11.25" customHeight="1" x14ac:dyDescent="0.2">
      <c r="A19" s="122" t="s">
        <v>745</v>
      </c>
      <c r="B19" s="176" t="s">
        <v>861</v>
      </c>
      <c r="C19" s="176"/>
      <c r="D19" s="116">
        <f t="shared" si="48"/>
        <v>422562118.49999994</v>
      </c>
      <c r="E19" s="114">
        <v>38634.9</v>
      </c>
      <c r="F19" s="114">
        <v>0</v>
      </c>
      <c r="G19" s="114">
        <v>12155</v>
      </c>
      <c r="H19" s="114">
        <v>0</v>
      </c>
      <c r="I19" s="114">
        <v>86761.8</v>
      </c>
      <c r="J19" s="114">
        <v>0</v>
      </c>
      <c r="K19" s="114">
        <v>327141.40000000002</v>
      </c>
      <c r="L19" s="114">
        <v>373439.9</v>
      </c>
      <c r="M19" s="114">
        <v>0</v>
      </c>
      <c r="N19" s="114">
        <v>0</v>
      </c>
      <c r="O19" s="114">
        <v>26479.8</v>
      </c>
      <c r="P19" s="114">
        <v>0</v>
      </c>
      <c r="Q19" s="114">
        <v>0</v>
      </c>
      <c r="R19" s="114">
        <v>704913.4</v>
      </c>
      <c r="S19" s="114">
        <v>12800.1</v>
      </c>
      <c r="T19" s="114">
        <v>64546.2</v>
      </c>
      <c r="U19" s="114">
        <v>0</v>
      </c>
      <c r="V19" s="114">
        <v>24481.9</v>
      </c>
      <c r="W19" s="114">
        <v>0</v>
      </c>
      <c r="X19" s="114">
        <v>471542.8</v>
      </c>
      <c r="Y19" s="114">
        <v>306063.40000000002</v>
      </c>
      <c r="Z19" s="114">
        <v>0</v>
      </c>
      <c r="AA19" s="114">
        <v>0</v>
      </c>
      <c r="AB19" s="114">
        <v>0</v>
      </c>
      <c r="AC19" s="114">
        <v>2847760.2</v>
      </c>
      <c r="AD19" s="114">
        <v>0</v>
      </c>
      <c r="AE19" s="114">
        <v>398297997.19999999</v>
      </c>
      <c r="AF19" s="114">
        <v>0</v>
      </c>
      <c r="AG19" s="114">
        <v>0</v>
      </c>
      <c r="AH19" s="114">
        <v>1914443.6</v>
      </c>
      <c r="AI19" s="114">
        <v>264248.09999999998</v>
      </c>
      <c r="AJ19" s="114">
        <v>849063.4</v>
      </c>
      <c r="AK19" s="114">
        <v>0</v>
      </c>
      <c r="AL19" s="114">
        <v>0</v>
      </c>
      <c r="AM19" s="114">
        <v>0</v>
      </c>
      <c r="AN19" s="114">
        <v>0</v>
      </c>
      <c r="AO19" s="114">
        <v>569816.5</v>
      </c>
      <c r="AP19" s="114">
        <v>1640076.2</v>
      </c>
      <c r="AQ19" s="114">
        <v>0</v>
      </c>
      <c r="AR19" s="114">
        <v>0</v>
      </c>
      <c r="AS19" s="114">
        <v>0</v>
      </c>
      <c r="AT19" s="114"/>
      <c r="AU19" s="114"/>
      <c r="AV19" s="114"/>
      <c r="AW19" s="114"/>
      <c r="AX19" s="114"/>
      <c r="AY19" s="114"/>
      <c r="AZ19" s="114">
        <v>0</v>
      </c>
      <c r="BA19" s="114">
        <v>0</v>
      </c>
      <c r="BB19" s="114">
        <v>0</v>
      </c>
      <c r="BC19" s="114">
        <v>2432895.2000000002</v>
      </c>
      <c r="BD19" s="114">
        <v>0</v>
      </c>
      <c r="BE19" s="114">
        <v>0</v>
      </c>
      <c r="BF19" s="114">
        <v>0</v>
      </c>
      <c r="BG19" s="114">
        <v>151593</v>
      </c>
      <c r="BH19" s="114">
        <v>0</v>
      </c>
      <c r="BI19" s="114">
        <v>3886.5</v>
      </c>
      <c r="BJ19" s="114">
        <v>4687.6000000000004</v>
      </c>
      <c r="BK19" s="114" t="s">
        <v>924</v>
      </c>
      <c r="BL19" s="99">
        <v>0</v>
      </c>
      <c r="BM19" s="99">
        <v>0</v>
      </c>
      <c r="BN19" s="99">
        <v>28272</v>
      </c>
      <c r="BO19" s="99">
        <v>0</v>
      </c>
      <c r="BP19" s="99">
        <v>0</v>
      </c>
      <c r="BQ19" s="99">
        <v>50006.700000000004</v>
      </c>
      <c r="BR19" s="99">
        <v>633376.1</v>
      </c>
      <c r="BS19" s="99">
        <v>0</v>
      </c>
      <c r="BT19" s="99">
        <v>1000</v>
      </c>
      <c r="BU19" s="99">
        <v>0</v>
      </c>
      <c r="BV19" s="99">
        <v>0</v>
      </c>
      <c r="BW19" s="99">
        <v>0</v>
      </c>
      <c r="BX19" s="99">
        <v>0</v>
      </c>
      <c r="BY19" s="99">
        <v>0</v>
      </c>
      <c r="BZ19" s="99">
        <v>0</v>
      </c>
      <c r="CA19" s="99">
        <v>0</v>
      </c>
      <c r="CB19" s="99">
        <v>0</v>
      </c>
      <c r="CC19" s="99">
        <v>0</v>
      </c>
      <c r="CD19" s="99">
        <v>0</v>
      </c>
      <c r="CE19" s="99">
        <v>0</v>
      </c>
      <c r="CF19" s="99">
        <v>0</v>
      </c>
      <c r="CG19" s="99">
        <v>0</v>
      </c>
      <c r="CH19" s="99">
        <v>0</v>
      </c>
      <c r="CI19" s="99">
        <v>0</v>
      </c>
      <c r="CJ19" s="99">
        <v>0</v>
      </c>
      <c r="CK19" s="99">
        <v>0</v>
      </c>
      <c r="CL19" s="99">
        <v>0</v>
      </c>
      <c r="CM19" s="99">
        <v>2637476.6</v>
      </c>
      <c r="CN19" s="99">
        <v>0</v>
      </c>
      <c r="CO19" s="99">
        <v>0</v>
      </c>
      <c r="CP19" s="99">
        <v>0</v>
      </c>
      <c r="CQ19" s="99">
        <v>0</v>
      </c>
      <c r="CR19" s="99">
        <v>0</v>
      </c>
      <c r="CS19" s="99">
        <v>0</v>
      </c>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v>10343.1</v>
      </c>
      <c r="DR19" s="99"/>
      <c r="DS19" s="99">
        <v>1147577.8999999999</v>
      </c>
      <c r="DT19" s="99"/>
      <c r="DU19" s="99"/>
      <c r="DV19" s="99"/>
      <c r="DW19" s="99"/>
      <c r="DX19" s="99"/>
      <c r="DY19" s="99"/>
      <c r="DZ19" s="99"/>
      <c r="EA19" s="99"/>
      <c r="EB19" s="99"/>
      <c r="EC19" s="99"/>
      <c r="ED19" s="99"/>
      <c r="EE19" s="99"/>
      <c r="EF19" s="99"/>
      <c r="EG19" s="99"/>
      <c r="EH19" s="99"/>
      <c r="EI19" s="99">
        <v>0</v>
      </c>
      <c r="EJ19" s="99">
        <v>0</v>
      </c>
      <c r="EK19" s="99">
        <v>0</v>
      </c>
      <c r="EL19" s="99">
        <v>0</v>
      </c>
      <c r="EM19" s="99">
        <v>0</v>
      </c>
      <c r="EN19" s="99">
        <v>0</v>
      </c>
      <c r="EO19" s="99">
        <v>21020.7</v>
      </c>
      <c r="EP19" s="99">
        <v>0</v>
      </c>
      <c r="EQ19" s="99">
        <v>0</v>
      </c>
      <c r="ER19" s="99">
        <v>0</v>
      </c>
      <c r="ES19" s="99">
        <v>0</v>
      </c>
      <c r="ET19" s="99">
        <v>96974.5</v>
      </c>
      <c r="EU19" s="99"/>
      <c r="EV19" s="99"/>
      <c r="EW19" s="99">
        <v>0</v>
      </c>
      <c r="EX19" s="99">
        <v>0</v>
      </c>
      <c r="EY19" s="99">
        <v>0</v>
      </c>
      <c r="EZ19" s="99">
        <v>0</v>
      </c>
      <c r="FA19" s="99">
        <v>0</v>
      </c>
      <c r="FB19" s="99">
        <v>0</v>
      </c>
      <c r="FC19" s="99">
        <v>0</v>
      </c>
      <c r="FD19" s="99">
        <v>0</v>
      </c>
      <c r="FE19" s="99">
        <v>0</v>
      </c>
      <c r="FF19" s="99">
        <v>0</v>
      </c>
      <c r="FG19" s="99">
        <v>0</v>
      </c>
      <c r="FH19" s="99">
        <v>131670.39999999999</v>
      </c>
      <c r="FI19" s="99">
        <v>0</v>
      </c>
      <c r="FJ19" s="99">
        <v>0</v>
      </c>
      <c r="FK19" s="99">
        <v>0</v>
      </c>
      <c r="FL19" s="99">
        <v>0</v>
      </c>
      <c r="FM19" s="99">
        <v>0</v>
      </c>
      <c r="FN19" s="99">
        <v>7386.1</v>
      </c>
      <c r="FO19" s="99">
        <v>0</v>
      </c>
      <c r="FP19" s="99">
        <v>104224.2</v>
      </c>
      <c r="FQ19" s="99">
        <v>2328.6</v>
      </c>
      <c r="FR19" s="99">
        <v>15777.800000000001</v>
      </c>
      <c r="FS19" s="99">
        <v>0</v>
      </c>
      <c r="FT19" s="99">
        <v>11237.1</v>
      </c>
      <c r="FU19" s="99">
        <v>0</v>
      </c>
      <c r="FV19" s="99">
        <v>123982.1</v>
      </c>
      <c r="FW19" s="99">
        <v>0</v>
      </c>
      <c r="FX19" s="99">
        <v>0</v>
      </c>
      <c r="FY19" s="99">
        <v>0</v>
      </c>
      <c r="FZ19" s="99">
        <v>26542.9</v>
      </c>
      <c r="GA19" s="99">
        <v>0</v>
      </c>
      <c r="GB19" s="99"/>
      <c r="GC19" s="99"/>
      <c r="GD19" s="99">
        <v>80751.600000000006</v>
      </c>
      <c r="GE19" s="99"/>
      <c r="GF19" s="99"/>
      <c r="GG19" s="99"/>
      <c r="GH19" s="99"/>
      <c r="GI19" s="99"/>
      <c r="GJ19" s="99"/>
      <c r="GK19" s="99">
        <v>8878.4</v>
      </c>
      <c r="GL19" s="99"/>
      <c r="GM19" s="99"/>
      <c r="GN19" s="99"/>
      <c r="GO19" s="99"/>
      <c r="GP19" s="99"/>
      <c r="GQ19" s="99"/>
      <c r="GR19" s="99"/>
      <c r="GS19" s="99">
        <v>0</v>
      </c>
      <c r="GT19" s="99">
        <v>0</v>
      </c>
      <c r="GU19" s="99">
        <v>23324</v>
      </c>
      <c r="GV19" s="99">
        <v>0</v>
      </c>
      <c r="GW19" s="99">
        <v>0</v>
      </c>
      <c r="GX19" s="99">
        <v>0</v>
      </c>
      <c r="GY19" s="99">
        <v>0</v>
      </c>
      <c r="GZ19" s="99">
        <v>0</v>
      </c>
      <c r="HA19" s="99">
        <v>0</v>
      </c>
      <c r="HB19" s="99">
        <v>37079.800000000003</v>
      </c>
      <c r="HC19" s="99"/>
      <c r="HD19" s="99"/>
      <c r="HE19" s="99"/>
      <c r="HF19" s="99">
        <v>0</v>
      </c>
      <c r="HG19" s="99">
        <v>0</v>
      </c>
      <c r="HH19" s="99">
        <v>0</v>
      </c>
      <c r="HI19" s="99">
        <v>27105.7</v>
      </c>
      <c r="HJ19" s="99">
        <v>0</v>
      </c>
      <c r="HK19" s="99">
        <v>0</v>
      </c>
      <c r="HL19" s="99">
        <v>0</v>
      </c>
      <c r="HM19" s="99"/>
      <c r="HN19" s="99"/>
      <c r="HO19" s="99"/>
      <c r="HP19" s="99"/>
      <c r="HQ19" s="99"/>
      <c r="HR19" s="99"/>
      <c r="HS19" s="99"/>
      <c r="HT19" s="99"/>
      <c r="HU19" s="99"/>
      <c r="HV19" s="99"/>
      <c r="HW19" s="99"/>
      <c r="HX19" s="99"/>
      <c r="HY19" s="99"/>
      <c r="HZ19" s="99">
        <v>0</v>
      </c>
      <c r="IA19" s="99">
        <v>24195.8</v>
      </c>
      <c r="IB19" s="99">
        <v>0</v>
      </c>
      <c r="IC19" s="99">
        <v>28959.200000000001</v>
      </c>
      <c r="ID19" s="99">
        <v>397396.2</v>
      </c>
      <c r="IE19" s="99">
        <v>0</v>
      </c>
      <c r="IF19" s="99">
        <v>0</v>
      </c>
      <c r="IG19" s="99">
        <v>0</v>
      </c>
      <c r="IH19" s="99">
        <v>0</v>
      </c>
      <c r="II19" s="99">
        <v>0</v>
      </c>
      <c r="IJ19" s="99">
        <v>109000</v>
      </c>
      <c r="IK19" s="99">
        <v>0</v>
      </c>
      <c r="IL19" s="99">
        <v>0</v>
      </c>
      <c r="IM19" s="99">
        <v>117699</v>
      </c>
      <c r="IN19" s="99">
        <v>0</v>
      </c>
      <c r="IO19" s="99">
        <v>0</v>
      </c>
      <c r="IP19" s="99">
        <v>0</v>
      </c>
      <c r="IQ19" s="99">
        <v>0</v>
      </c>
      <c r="IR19" s="99">
        <v>0</v>
      </c>
      <c r="IS19" s="99">
        <v>0</v>
      </c>
      <c r="IT19" s="99">
        <v>0</v>
      </c>
      <c r="IU19" s="99">
        <v>1041295.5</v>
      </c>
      <c r="IV19" s="99"/>
      <c r="IW19" s="99">
        <v>0</v>
      </c>
      <c r="IX19" s="99">
        <v>0</v>
      </c>
      <c r="IY19" s="99">
        <v>0</v>
      </c>
      <c r="IZ19" s="99">
        <v>0</v>
      </c>
      <c r="JA19" s="99">
        <v>0</v>
      </c>
      <c r="JB19" s="99">
        <v>20116.2</v>
      </c>
      <c r="JC19" s="99">
        <v>0</v>
      </c>
      <c r="JD19" s="103">
        <v>48758.3</v>
      </c>
      <c r="JE19" s="103">
        <v>48202.5</v>
      </c>
      <c r="JF19" s="103">
        <v>76716.2</v>
      </c>
      <c r="JG19" s="99">
        <v>214876.6</v>
      </c>
      <c r="JH19" s="103">
        <v>14626.800000000001</v>
      </c>
      <c r="JI19" s="99"/>
      <c r="JJ19" s="99"/>
      <c r="JK19" s="99">
        <v>9054</v>
      </c>
      <c r="JL19" s="99"/>
      <c r="JM19" s="99"/>
      <c r="JN19" s="99"/>
      <c r="JO19" s="99"/>
      <c r="JP19" s="99"/>
      <c r="JQ19" s="99"/>
      <c r="JR19" s="99"/>
      <c r="JS19" s="99"/>
      <c r="JT19" s="99"/>
      <c r="JU19" s="99"/>
      <c r="JV19" s="99"/>
      <c r="JW19" s="99"/>
      <c r="JX19" s="99"/>
      <c r="JY19" s="99"/>
      <c r="JZ19" s="99">
        <v>0</v>
      </c>
      <c r="KA19" s="99">
        <v>20307.3</v>
      </c>
      <c r="KB19" s="99"/>
      <c r="KC19" s="99"/>
      <c r="KD19" s="99"/>
      <c r="KE19" s="99"/>
      <c r="KF19" s="99"/>
      <c r="KG19" s="99">
        <v>0</v>
      </c>
      <c r="KH19" s="99">
        <v>0</v>
      </c>
      <c r="KI19" s="99">
        <v>0</v>
      </c>
      <c r="KJ19" s="99">
        <v>0</v>
      </c>
      <c r="KK19" s="99">
        <v>0</v>
      </c>
      <c r="KL19" s="99">
        <v>7949.7</v>
      </c>
      <c r="KM19" s="99">
        <v>0</v>
      </c>
      <c r="KN19" s="99">
        <v>0</v>
      </c>
      <c r="KO19" s="99">
        <v>0</v>
      </c>
      <c r="KP19" s="99">
        <v>21540.7</v>
      </c>
      <c r="KQ19" s="99">
        <v>0</v>
      </c>
      <c r="KR19" s="99">
        <v>976520.4</v>
      </c>
      <c r="KS19" s="99">
        <v>0</v>
      </c>
      <c r="KT19" s="99">
        <v>0</v>
      </c>
      <c r="KU19" s="99">
        <v>701399.20000000007</v>
      </c>
      <c r="KV19" s="99">
        <v>0</v>
      </c>
      <c r="KW19" s="99">
        <v>0</v>
      </c>
      <c r="KX19" s="99">
        <v>0</v>
      </c>
      <c r="KY19" s="99">
        <v>0</v>
      </c>
      <c r="KZ19" s="99">
        <v>20729.7</v>
      </c>
      <c r="LA19" s="99">
        <v>0</v>
      </c>
      <c r="LB19" s="99">
        <v>0</v>
      </c>
      <c r="LC19" s="99"/>
      <c r="LD19" s="99"/>
      <c r="LE19" s="99"/>
      <c r="LF19" s="99"/>
      <c r="LG19" s="99"/>
      <c r="LH19" s="99"/>
      <c r="LI19" s="99"/>
      <c r="LJ19" s="99"/>
      <c r="LK19" s="99"/>
      <c r="LL19" s="99"/>
      <c r="LM19" s="99"/>
      <c r="LN19" s="99"/>
      <c r="LO19" s="99"/>
      <c r="LP19" s="99"/>
      <c r="LQ19" s="99"/>
      <c r="LR19" s="99"/>
      <c r="LS19" s="99"/>
      <c r="LT19" s="99"/>
      <c r="LU19" s="99"/>
      <c r="LV19" s="99">
        <v>929895</v>
      </c>
      <c r="LW19" s="99"/>
      <c r="LX19" s="99">
        <v>15005.2</v>
      </c>
      <c r="LY19" s="99">
        <v>0</v>
      </c>
      <c r="LZ19" s="99">
        <v>0</v>
      </c>
      <c r="MA19" s="99">
        <v>5650.2</v>
      </c>
      <c r="MB19" s="99">
        <v>0</v>
      </c>
      <c r="MC19" s="99">
        <v>0</v>
      </c>
      <c r="MD19" s="99">
        <v>0</v>
      </c>
      <c r="ME19" s="99">
        <v>0</v>
      </c>
      <c r="MF19" s="99">
        <v>0</v>
      </c>
      <c r="MG19" s="99">
        <v>0</v>
      </c>
      <c r="MH19" s="99">
        <v>0</v>
      </c>
      <c r="MI19" s="99">
        <v>0</v>
      </c>
      <c r="MJ19" s="99">
        <v>0</v>
      </c>
      <c r="MK19" s="99">
        <v>10906</v>
      </c>
      <c r="ML19" s="99">
        <v>113901.5</v>
      </c>
      <c r="MM19" s="99">
        <v>20442.2</v>
      </c>
      <c r="MN19" s="99">
        <v>0</v>
      </c>
      <c r="MO19" s="99">
        <v>0</v>
      </c>
      <c r="MP19" s="99">
        <v>0</v>
      </c>
      <c r="MQ19" s="99">
        <v>0</v>
      </c>
      <c r="MR19" s="99">
        <v>0</v>
      </c>
      <c r="MS19" s="99">
        <v>86285.7</v>
      </c>
      <c r="MT19" s="99">
        <v>0</v>
      </c>
      <c r="MU19" s="99">
        <v>0</v>
      </c>
      <c r="MV19" s="99">
        <v>0</v>
      </c>
      <c r="MW19" s="99">
        <v>0</v>
      </c>
      <c r="MX19" s="99">
        <v>0</v>
      </c>
      <c r="MY19" s="99">
        <v>7310.3</v>
      </c>
      <c r="MZ19" s="99">
        <v>0</v>
      </c>
      <c r="NA19" s="99">
        <v>55591.4</v>
      </c>
      <c r="NB19" s="99"/>
      <c r="NC19" s="99"/>
      <c r="ND19" s="99"/>
      <c r="NE19" s="99"/>
      <c r="NF19" s="99"/>
      <c r="NG19" s="99">
        <v>0</v>
      </c>
      <c r="NH19" s="99">
        <v>28784.400000000001</v>
      </c>
      <c r="NI19" s="99">
        <v>13398.4</v>
      </c>
      <c r="NJ19" s="99">
        <v>0</v>
      </c>
      <c r="NK19" s="99">
        <v>0</v>
      </c>
      <c r="NL19" s="99">
        <v>0</v>
      </c>
      <c r="NM19" s="99">
        <v>299863.5</v>
      </c>
      <c r="NN19" s="99">
        <v>240154.30000000002</v>
      </c>
      <c r="NO19" s="99">
        <v>0</v>
      </c>
      <c r="NP19" s="99">
        <v>0</v>
      </c>
      <c r="NQ19" s="99"/>
      <c r="NR19" s="99"/>
      <c r="NS19" s="99"/>
      <c r="NT19" s="99"/>
      <c r="NU19" s="99"/>
      <c r="NV19" s="99">
        <v>41265.4</v>
      </c>
      <c r="NW19" s="99">
        <v>0</v>
      </c>
      <c r="NX19" s="99">
        <v>0</v>
      </c>
      <c r="NY19" s="99">
        <v>0</v>
      </c>
      <c r="NZ19" s="99">
        <v>0</v>
      </c>
      <c r="OA19" s="99">
        <v>0</v>
      </c>
      <c r="OB19" s="99"/>
      <c r="OC19" s="99"/>
      <c r="OD19" s="99">
        <v>0</v>
      </c>
      <c r="OE19" s="99">
        <v>0</v>
      </c>
      <c r="OF19" s="99">
        <v>0</v>
      </c>
      <c r="OG19" s="99">
        <v>0</v>
      </c>
      <c r="OH19" s="99">
        <v>0</v>
      </c>
      <c r="OI19" s="99">
        <v>1500</v>
      </c>
      <c r="OJ19" s="99">
        <v>0</v>
      </c>
      <c r="OK19" s="99">
        <v>0</v>
      </c>
      <c r="OL19" s="99">
        <v>0</v>
      </c>
      <c r="OM19" s="99">
        <v>0</v>
      </c>
      <c r="ON19" s="99">
        <v>0</v>
      </c>
      <c r="OO19" s="99">
        <v>0</v>
      </c>
      <c r="OP19" s="99">
        <v>0</v>
      </c>
      <c r="OQ19" s="99">
        <v>0</v>
      </c>
      <c r="OR19" s="99">
        <v>0</v>
      </c>
      <c r="OS19" s="99">
        <v>0</v>
      </c>
      <c r="OT19" s="99">
        <v>0</v>
      </c>
      <c r="OU19" s="99">
        <v>0</v>
      </c>
      <c r="OV19" s="99">
        <v>0</v>
      </c>
      <c r="OW19" s="99">
        <v>0</v>
      </c>
      <c r="OX19" s="99">
        <v>0</v>
      </c>
      <c r="OY19" s="99">
        <v>0</v>
      </c>
      <c r="OZ19" s="99">
        <v>0</v>
      </c>
      <c r="PA19" s="99">
        <v>11067</v>
      </c>
      <c r="PB19" s="99">
        <v>25881.3</v>
      </c>
      <c r="PC19" s="99">
        <v>0</v>
      </c>
      <c r="PD19" s="99">
        <v>22832.5</v>
      </c>
      <c r="PE19" s="99">
        <v>0</v>
      </c>
      <c r="PF19" s="99">
        <v>0</v>
      </c>
      <c r="PG19" s="99">
        <v>0</v>
      </c>
      <c r="PH19" s="99">
        <v>0</v>
      </c>
      <c r="PI19" s="99">
        <v>0</v>
      </c>
      <c r="PJ19" s="99">
        <v>0</v>
      </c>
      <c r="PK19" s="99">
        <v>0</v>
      </c>
      <c r="PL19" s="99">
        <v>0</v>
      </c>
      <c r="PM19" s="99">
        <v>0</v>
      </c>
      <c r="PN19" s="99">
        <v>0</v>
      </c>
      <c r="PO19" s="99">
        <v>0</v>
      </c>
      <c r="PP19" s="99">
        <v>0</v>
      </c>
      <c r="PQ19" s="99">
        <v>0</v>
      </c>
      <c r="PR19" s="99"/>
      <c r="PS19" s="99"/>
      <c r="PT19" s="99">
        <v>0</v>
      </c>
      <c r="PU19" s="99">
        <v>0</v>
      </c>
      <c r="PV19" s="99">
        <v>0</v>
      </c>
      <c r="PW19" s="99">
        <v>0</v>
      </c>
      <c r="PX19" s="99">
        <v>0</v>
      </c>
      <c r="PY19" s="99">
        <v>0</v>
      </c>
      <c r="PZ19" s="99">
        <v>0</v>
      </c>
      <c r="QA19" s="99">
        <v>0</v>
      </c>
      <c r="QB19" s="99">
        <v>0</v>
      </c>
      <c r="QC19" s="99">
        <v>0</v>
      </c>
      <c r="QD19" s="99">
        <v>0</v>
      </c>
      <c r="QE19" s="99">
        <v>0</v>
      </c>
      <c r="QF19" s="99">
        <v>0</v>
      </c>
      <c r="QG19" s="99">
        <v>4100</v>
      </c>
      <c r="QH19" s="99">
        <v>0</v>
      </c>
      <c r="QI19" s="99">
        <v>0</v>
      </c>
      <c r="QJ19" s="99">
        <v>77176.5</v>
      </c>
      <c r="QK19" s="99">
        <v>0</v>
      </c>
      <c r="QL19" s="99">
        <v>0</v>
      </c>
      <c r="QM19" s="99"/>
      <c r="QN19" s="99"/>
      <c r="QO19" s="99"/>
      <c r="QP19" s="99"/>
      <c r="QQ19" s="99"/>
      <c r="QR19" s="99"/>
      <c r="QS19" s="99"/>
      <c r="QT19" s="99"/>
      <c r="QU19" s="99"/>
      <c r="QV19" s="99"/>
      <c r="QW19" s="99"/>
      <c r="QX19" s="99"/>
      <c r="QY19" s="99"/>
      <c r="QZ19" s="99"/>
      <c r="RA19" s="99"/>
      <c r="RB19" s="99"/>
      <c r="RC19" s="99"/>
      <c r="RD19" s="99"/>
      <c r="RE19" s="99"/>
      <c r="RF19" s="99"/>
      <c r="RG19" s="99"/>
      <c r="RH19" s="99"/>
      <c r="RI19" s="99"/>
      <c r="RJ19" s="99"/>
      <c r="RK19" s="99"/>
      <c r="RL19" s="99"/>
      <c r="RM19" s="99"/>
      <c r="RN19" s="99"/>
    </row>
    <row r="20" spans="1:482" s="60" customFormat="1" ht="11.25" customHeight="1" x14ac:dyDescent="0.2">
      <c r="A20" s="122" t="s">
        <v>746</v>
      </c>
      <c r="B20" s="176" t="s">
        <v>747</v>
      </c>
      <c r="C20" s="176"/>
      <c r="D20" s="115">
        <f t="shared" si="48"/>
        <v>0</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t="s">
        <v>912</v>
      </c>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c r="IR20" s="99"/>
      <c r="IS20" s="99"/>
      <c r="IT20" s="99"/>
      <c r="IU20" s="99"/>
      <c r="IV20" s="99"/>
      <c r="IW20" s="99"/>
      <c r="IX20" s="99"/>
      <c r="IY20" s="99"/>
      <c r="IZ20" s="99"/>
      <c r="JA20" s="99"/>
      <c r="JB20" s="99"/>
      <c r="JC20" s="99"/>
      <c r="JD20" s="99"/>
      <c r="JE20" s="99"/>
      <c r="JF20" s="99"/>
      <c r="JG20" s="99"/>
      <c r="JH20" s="99"/>
      <c r="JI20" s="99"/>
      <c r="JJ20" s="99"/>
      <c r="JK20" s="99"/>
      <c r="JL20" s="99"/>
      <c r="JM20" s="99"/>
      <c r="JN20" s="99"/>
      <c r="JO20" s="99"/>
      <c r="JP20" s="99"/>
      <c r="JQ20" s="99"/>
      <c r="JR20" s="99"/>
      <c r="JS20" s="99"/>
      <c r="JT20" s="99"/>
      <c r="JU20" s="99"/>
      <c r="JV20" s="99"/>
      <c r="JW20" s="99"/>
      <c r="JX20" s="99"/>
      <c r="JY20" s="99"/>
      <c r="JZ20" s="99"/>
      <c r="KA20" s="99"/>
      <c r="KB20" s="99"/>
      <c r="KC20" s="99"/>
      <c r="KD20" s="99"/>
      <c r="KE20" s="99"/>
      <c r="KF20" s="99"/>
      <c r="KG20" s="99"/>
      <c r="KH20" s="99"/>
      <c r="KI20" s="99"/>
      <c r="KJ20" s="99"/>
      <c r="KK20" s="99"/>
      <c r="KL20" s="99"/>
      <c r="KM20" s="99"/>
      <c r="KN20" s="99"/>
      <c r="KO20" s="99"/>
      <c r="KP20" s="99"/>
      <c r="KQ20" s="99"/>
      <c r="KR20" s="99"/>
      <c r="KS20" s="99"/>
      <c r="KT20" s="99"/>
      <c r="KU20" s="99"/>
      <c r="KV20" s="99"/>
      <c r="KW20" s="99"/>
      <c r="KX20" s="99"/>
      <c r="KY20" s="99"/>
      <c r="KZ20" s="99"/>
      <c r="LA20" s="99"/>
      <c r="LB20" s="99"/>
      <c r="LC20" s="99"/>
      <c r="LD20" s="99"/>
      <c r="LE20" s="99"/>
      <c r="LF20" s="99"/>
      <c r="LG20" s="99"/>
      <c r="LH20" s="99"/>
      <c r="LI20" s="99"/>
      <c r="LJ20" s="99"/>
      <c r="LK20" s="99"/>
      <c r="LL20" s="99"/>
      <c r="LM20" s="99"/>
      <c r="LN20" s="99"/>
      <c r="LO20" s="99"/>
      <c r="LP20" s="99"/>
      <c r="LQ20" s="99"/>
      <c r="LR20" s="99"/>
      <c r="LS20" s="99"/>
      <c r="LT20" s="99"/>
      <c r="LU20" s="99"/>
      <c r="LV20" s="99"/>
      <c r="LW20" s="99"/>
      <c r="LX20" s="99"/>
      <c r="LY20" s="99"/>
      <c r="LZ20" s="99"/>
      <c r="MA20" s="99"/>
      <c r="MB20" s="99"/>
      <c r="MC20" s="99"/>
      <c r="MD20" s="99"/>
      <c r="ME20" s="99"/>
      <c r="MF20" s="99"/>
      <c r="MG20" s="99"/>
      <c r="MH20" s="99"/>
      <c r="MI20" s="99"/>
      <c r="MJ20" s="99"/>
      <c r="MK20" s="99"/>
      <c r="ML20" s="99"/>
      <c r="MM20" s="99"/>
      <c r="MN20" s="99"/>
      <c r="MO20" s="99"/>
      <c r="MP20" s="99"/>
      <c r="MQ20" s="99"/>
      <c r="MR20" s="99"/>
      <c r="MS20" s="99"/>
      <c r="MT20" s="99"/>
      <c r="MU20" s="99"/>
      <c r="MV20" s="99"/>
      <c r="MW20" s="99"/>
      <c r="MX20" s="99"/>
      <c r="MY20" s="99"/>
      <c r="MZ20" s="99"/>
      <c r="NA20" s="99"/>
      <c r="NB20" s="99"/>
      <c r="NC20" s="99"/>
      <c r="ND20" s="99"/>
      <c r="NE20" s="99"/>
      <c r="NF20" s="99"/>
      <c r="NG20" s="99"/>
      <c r="NH20" s="99"/>
      <c r="NI20" s="99"/>
      <c r="NJ20" s="99"/>
      <c r="NK20" s="99"/>
      <c r="NL20" s="99"/>
      <c r="NM20" s="99"/>
      <c r="NN20" s="99"/>
      <c r="NO20" s="99"/>
      <c r="NP20" s="99"/>
      <c r="NQ20" s="99"/>
      <c r="NR20" s="99"/>
      <c r="NS20" s="99"/>
      <c r="NT20" s="99"/>
      <c r="NU20" s="99"/>
      <c r="NV20" s="99"/>
      <c r="NW20" s="99"/>
      <c r="NX20" s="99"/>
      <c r="NY20" s="99"/>
      <c r="NZ20" s="99"/>
      <c r="OA20" s="99"/>
      <c r="OB20" s="99"/>
      <c r="OC20" s="99"/>
      <c r="OD20" s="99"/>
      <c r="OE20" s="99"/>
      <c r="OF20" s="99"/>
      <c r="OG20" s="99"/>
      <c r="OH20" s="99"/>
      <c r="OI20" s="99"/>
      <c r="OJ20" s="99"/>
      <c r="OK20" s="99"/>
      <c r="OL20" s="99"/>
      <c r="OM20" s="99"/>
      <c r="ON20" s="99"/>
      <c r="OO20" s="99"/>
      <c r="OP20" s="99"/>
      <c r="OQ20" s="99"/>
      <c r="OR20" s="99"/>
      <c r="OS20" s="99"/>
      <c r="OT20" s="99"/>
      <c r="OU20" s="99"/>
      <c r="OV20" s="99"/>
      <c r="OW20" s="99"/>
      <c r="OX20" s="99"/>
      <c r="OY20" s="99"/>
      <c r="OZ20" s="99"/>
      <c r="PA20" s="99"/>
      <c r="PB20" s="99"/>
      <c r="PC20" s="99"/>
      <c r="PD20" s="99"/>
      <c r="PE20" s="99"/>
      <c r="PF20" s="99"/>
      <c r="PG20" s="99"/>
      <c r="PH20" s="99"/>
      <c r="PI20" s="99"/>
      <c r="PJ20" s="99"/>
      <c r="PK20" s="99"/>
      <c r="PL20" s="99"/>
      <c r="PM20" s="99"/>
      <c r="PN20" s="99"/>
      <c r="PO20" s="99"/>
      <c r="PP20" s="99"/>
      <c r="PQ20" s="99"/>
      <c r="PR20" s="99"/>
      <c r="PS20" s="99"/>
      <c r="PT20" s="99"/>
      <c r="PU20" s="99"/>
      <c r="PV20" s="99"/>
      <c r="PW20" s="99"/>
      <c r="PX20" s="99"/>
      <c r="PY20" s="99"/>
      <c r="PZ20" s="99"/>
      <c r="QA20" s="99"/>
      <c r="QB20" s="99"/>
      <c r="QC20" s="99"/>
      <c r="QD20" s="99"/>
      <c r="QE20" s="99"/>
      <c r="QF20" s="99"/>
      <c r="QG20" s="99"/>
      <c r="QH20" s="99"/>
      <c r="QI20" s="99"/>
      <c r="QJ20" s="99"/>
      <c r="QK20" s="99"/>
      <c r="QL20" s="99"/>
      <c r="QM20" s="99"/>
      <c r="QN20" s="99"/>
      <c r="QO20" s="99"/>
      <c r="QP20" s="99"/>
      <c r="QQ20" s="99"/>
      <c r="QR20" s="99"/>
      <c r="QS20" s="99"/>
      <c r="QT20" s="99"/>
      <c r="QU20" s="99"/>
      <c r="QV20" s="99"/>
      <c r="QW20" s="99"/>
      <c r="QX20" s="99"/>
      <c r="QY20" s="99"/>
      <c r="QZ20" s="99"/>
      <c r="RA20" s="99"/>
      <c r="RB20" s="99"/>
      <c r="RC20" s="99"/>
      <c r="RD20" s="99"/>
      <c r="RE20" s="99"/>
      <c r="RF20" s="99"/>
      <c r="RG20" s="99"/>
      <c r="RH20" s="99"/>
      <c r="RI20" s="99"/>
      <c r="RJ20" s="99"/>
      <c r="RK20" s="99"/>
      <c r="RL20" s="99"/>
      <c r="RM20" s="99"/>
      <c r="RN20" s="99"/>
    </row>
    <row r="21" spans="1:482" s="60" customFormat="1" ht="11.25" customHeight="1" x14ac:dyDescent="0.2">
      <c r="A21" s="122" t="s">
        <v>748</v>
      </c>
      <c r="B21" s="176" t="s">
        <v>749</v>
      </c>
      <c r="C21" s="176"/>
      <c r="D21" s="115">
        <f t="shared" si="48"/>
        <v>0</v>
      </c>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t="s">
        <v>912</v>
      </c>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c r="IW21" s="99"/>
      <c r="IX21" s="99"/>
      <c r="IY21" s="99"/>
      <c r="IZ21" s="99"/>
      <c r="JA21" s="99"/>
      <c r="JB21" s="99"/>
      <c r="JC21" s="99"/>
      <c r="JD21" s="99"/>
      <c r="JE21" s="99"/>
      <c r="JF21" s="99"/>
      <c r="JG21" s="99"/>
      <c r="JH21" s="99"/>
      <c r="JI21" s="99"/>
      <c r="JJ21" s="99"/>
      <c r="JK21" s="99"/>
      <c r="JL21" s="99"/>
      <c r="JM21" s="99"/>
      <c r="JN21" s="99"/>
      <c r="JO21" s="99"/>
      <c r="JP21" s="99"/>
      <c r="JQ21" s="99"/>
      <c r="JR21" s="99"/>
      <c r="JS21" s="99"/>
      <c r="JT21" s="99"/>
      <c r="JU21" s="99"/>
      <c r="JV21" s="99"/>
      <c r="JW21" s="99"/>
      <c r="JX21" s="99"/>
      <c r="JY21" s="99"/>
      <c r="JZ21" s="99"/>
      <c r="KA21" s="99"/>
      <c r="KB21" s="99"/>
      <c r="KC21" s="99"/>
      <c r="KD21" s="99"/>
      <c r="KE21" s="99"/>
      <c r="KF21" s="99"/>
      <c r="KG21" s="99"/>
      <c r="KH21" s="99"/>
      <c r="KI21" s="99"/>
      <c r="KJ21" s="99"/>
      <c r="KK21" s="99"/>
      <c r="KL21" s="99"/>
      <c r="KM21" s="99"/>
      <c r="KN21" s="99"/>
      <c r="KO21" s="99"/>
      <c r="KP21" s="99"/>
      <c r="KQ21" s="99"/>
      <c r="KR21" s="99"/>
      <c r="KS21" s="99"/>
      <c r="KT21" s="99"/>
      <c r="KU21" s="99"/>
      <c r="KV21" s="99"/>
      <c r="KW21" s="99"/>
      <c r="KX21" s="99"/>
      <c r="KY21" s="99"/>
      <c r="KZ21" s="99"/>
      <c r="LA21" s="99"/>
      <c r="LB21" s="99"/>
      <c r="LC21" s="99"/>
      <c r="LD21" s="99"/>
      <c r="LE21" s="99"/>
      <c r="LF21" s="99"/>
      <c r="LG21" s="99"/>
      <c r="LH21" s="99"/>
      <c r="LI21" s="99"/>
      <c r="LJ21" s="99"/>
      <c r="LK21" s="99"/>
      <c r="LL21" s="99"/>
      <c r="LM21" s="99"/>
      <c r="LN21" s="99"/>
      <c r="LO21" s="99"/>
      <c r="LP21" s="99"/>
      <c r="LQ21" s="99"/>
      <c r="LR21" s="99"/>
      <c r="LS21" s="99"/>
      <c r="LT21" s="99"/>
      <c r="LU21" s="99"/>
      <c r="LV21" s="99"/>
      <c r="LW21" s="99"/>
      <c r="LX21" s="99"/>
      <c r="LY21" s="99"/>
      <c r="LZ21" s="99"/>
      <c r="MA21" s="99"/>
      <c r="MB21" s="99"/>
      <c r="MC21" s="99"/>
      <c r="MD21" s="99"/>
      <c r="ME21" s="99"/>
      <c r="MF21" s="99"/>
      <c r="MG21" s="99"/>
      <c r="MH21" s="99"/>
      <c r="MI21" s="99"/>
      <c r="MJ21" s="99"/>
      <c r="MK21" s="99"/>
      <c r="ML21" s="99"/>
      <c r="MM21" s="99"/>
      <c r="MN21" s="99"/>
      <c r="MO21" s="99"/>
      <c r="MP21" s="99"/>
      <c r="MQ21" s="99"/>
      <c r="MR21" s="99"/>
      <c r="MS21" s="99"/>
      <c r="MT21" s="99"/>
      <c r="MU21" s="99"/>
      <c r="MV21" s="99"/>
      <c r="MW21" s="99"/>
      <c r="MX21" s="99"/>
      <c r="MY21" s="99"/>
      <c r="MZ21" s="99"/>
      <c r="NA21" s="99"/>
      <c r="NB21" s="99"/>
      <c r="NC21" s="99"/>
      <c r="ND21" s="99"/>
      <c r="NE21" s="99"/>
      <c r="NF21" s="99"/>
      <c r="NG21" s="99"/>
      <c r="NH21" s="99"/>
      <c r="NI21" s="99"/>
      <c r="NJ21" s="99"/>
      <c r="NK21" s="99"/>
      <c r="NL21" s="99"/>
      <c r="NM21" s="99"/>
      <c r="NN21" s="99"/>
      <c r="NO21" s="99"/>
      <c r="NP21" s="99"/>
      <c r="NQ21" s="99"/>
      <c r="NR21" s="99"/>
      <c r="NS21" s="99"/>
      <c r="NT21" s="99"/>
      <c r="NU21" s="99"/>
      <c r="NV21" s="99"/>
      <c r="NW21" s="99"/>
      <c r="NX21" s="99"/>
      <c r="NY21" s="99"/>
      <c r="NZ21" s="99"/>
      <c r="OA21" s="99"/>
      <c r="OB21" s="99"/>
      <c r="OC21" s="99"/>
      <c r="OD21" s="99"/>
      <c r="OE21" s="99"/>
      <c r="OF21" s="99"/>
      <c r="OG21" s="99"/>
      <c r="OH21" s="99"/>
      <c r="OI21" s="99"/>
      <c r="OJ21" s="99"/>
      <c r="OK21" s="99"/>
      <c r="OL21" s="99"/>
      <c r="OM21" s="99"/>
      <c r="ON21" s="99"/>
      <c r="OO21" s="99"/>
      <c r="OP21" s="99"/>
      <c r="OQ21" s="99"/>
      <c r="OR21" s="99"/>
      <c r="OS21" s="99"/>
      <c r="OT21" s="99"/>
      <c r="OU21" s="99"/>
      <c r="OV21" s="99"/>
      <c r="OW21" s="99"/>
      <c r="OX21" s="99"/>
      <c r="OY21" s="99"/>
      <c r="OZ21" s="99"/>
      <c r="PA21" s="99"/>
      <c r="PB21" s="99"/>
      <c r="PC21" s="99"/>
      <c r="PD21" s="99"/>
      <c r="PE21" s="99"/>
      <c r="PF21" s="99"/>
      <c r="PG21" s="99"/>
      <c r="PH21" s="99"/>
      <c r="PI21" s="99"/>
      <c r="PJ21" s="99"/>
      <c r="PK21" s="99"/>
      <c r="PL21" s="99"/>
      <c r="PM21" s="99"/>
      <c r="PN21" s="99"/>
      <c r="PO21" s="99"/>
      <c r="PP21" s="99"/>
      <c r="PQ21" s="99"/>
      <c r="PR21" s="99"/>
      <c r="PS21" s="99"/>
      <c r="PT21" s="99"/>
      <c r="PU21" s="99"/>
      <c r="PV21" s="99"/>
      <c r="PW21" s="99"/>
      <c r="PX21" s="99"/>
      <c r="PY21" s="99"/>
      <c r="PZ21" s="99"/>
      <c r="QA21" s="99"/>
      <c r="QB21" s="99"/>
      <c r="QC21" s="99"/>
      <c r="QD21" s="99"/>
      <c r="QE21" s="99"/>
      <c r="QF21" s="99"/>
      <c r="QG21" s="99"/>
      <c r="QH21" s="99"/>
      <c r="QI21" s="99"/>
      <c r="QJ21" s="99"/>
      <c r="QK21" s="99"/>
      <c r="QL21" s="99"/>
      <c r="QM21" s="99"/>
      <c r="QN21" s="99"/>
      <c r="QO21" s="99"/>
      <c r="QP21" s="99"/>
      <c r="QQ21" s="99"/>
      <c r="QR21" s="99"/>
      <c r="QS21" s="99"/>
      <c r="QT21" s="99"/>
      <c r="QU21" s="99"/>
      <c r="QV21" s="99"/>
      <c r="QW21" s="99"/>
      <c r="QX21" s="99"/>
      <c r="QY21" s="99"/>
      <c r="QZ21" s="99"/>
      <c r="RA21" s="99"/>
      <c r="RB21" s="99"/>
      <c r="RC21" s="99"/>
      <c r="RD21" s="99"/>
      <c r="RE21" s="99"/>
      <c r="RF21" s="99"/>
      <c r="RG21" s="99"/>
      <c r="RH21" s="99"/>
      <c r="RI21" s="99"/>
      <c r="RJ21" s="99"/>
      <c r="RK21" s="99"/>
      <c r="RL21" s="99"/>
      <c r="RM21" s="99"/>
      <c r="RN21" s="99"/>
    </row>
    <row r="22" spans="1:482" s="60" customFormat="1" ht="22.5" customHeight="1" x14ac:dyDescent="0.2">
      <c r="A22" s="122" t="s">
        <v>750</v>
      </c>
      <c r="B22" s="176" t="s">
        <v>751</v>
      </c>
      <c r="C22" s="176"/>
      <c r="D22" s="115">
        <f t="shared" si="48"/>
        <v>0</v>
      </c>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t="s">
        <v>912</v>
      </c>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L22" s="99"/>
      <c r="KM22" s="99"/>
      <c r="KN22" s="99"/>
      <c r="KO22" s="99"/>
      <c r="KP22" s="99"/>
      <c r="KQ22" s="99"/>
      <c r="KR22" s="99"/>
      <c r="KS22" s="99"/>
      <c r="KT22" s="99"/>
      <c r="KU22" s="99"/>
      <c r="KV22" s="99"/>
      <c r="KW22" s="99"/>
      <c r="KX22" s="99"/>
      <c r="KY22" s="99"/>
      <c r="KZ22" s="99"/>
      <c r="LA22" s="99"/>
      <c r="LB22" s="99"/>
      <c r="LC22" s="99"/>
      <c r="LD22" s="99"/>
      <c r="LE22" s="99"/>
      <c r="LF22" s="99"/>
      <c r="LG22" s="99"/>
      <c r="LH22" s="99"/>
      <c r="LI22" s="99"/>
      <c r="LJ22" s="99"/>
      <c r="LK22" s="99"/>
      <c r="LL22" s="99"/>
      <c r="LM22" s="99"/>
      <c r="LN22" s="99"/>
      <c r="LO22" s="99"/>
      <c r="LP22" s="99"/>
      <c r="LQ22" s="99"/>
      <c r="LR22" s="99"/>
      <c r="LS22" s="99"/>
      <c r="LT22" s="99"/>
      <c r="LU22" s="99"/>
      <c r="LV22" s="99"/>
      <c r="LW22" s="99"/>
      <c r="LX22" s="99"/>
      <c r="LY22" s="99"/>
      <c r="LZ22" s="99"/>
      <c r="MA22" s="99"/>
      <c r="MB22" s="99"/>
      <c r="MC22" s="99"/>
      <c r="MD22" s="99"/>
      <c r="ME22" s="99"/>
      <c r="MF22" s="99"/>
      <c r="MG22" s="99"/>
      <c r="MH22" s="99"/>
      <c r="MI22" s="99"/>
      <c r="MJ22" s="99"/>
      <c r="MK22" s="99"/>
      <c r="ML22" s="99"/>
      <c r="MM22" s="99"/>
      <c r="MN22" s="99"/>
      <c r="MO22" s="99"/>
      <c r="MP22" s="99"/>
      <c r="MQ22" s="99"/>
      <c r="MR22" s="99"/>
      <c r="MS22" s="99"/>
      <c r="MT22" s="99"/>
      <c r="MU22" s="99"/>
      <c r="MV22" s="99"/>
      <c r="MW22" s="99"/>
      <c r="MX22" s="99"/>
      <c r="MY22" s="99"/>
      <c r="MZ22" s="99"/>
      <c r="NA22" s="99"/>
      <c r="NB22" s="99"/>
      <c r="NC22" s="99"/>
      <c r="ND22" s="99"/>
      <c r="NE22" s="99"/>
      <c r="NF22" s="99"/>
      <c r="NG22" s="99"/>
      <c r="NH22" s="99"/>
      <c r="NI22" s="99"/>
      <c r="NJ22" s="99"/>
      <c r="NK22" s="99"/>
      <c r="NL22" s="99"/>
      <c r="NM22" s="99"/>
      <c r="NN22" s="99"/>
      <c r="NO22" s="99"/>
      <c r="NP22" s="99"/>
      <c r="NQ22" s="99"/>
      <c r="NR22" s="99"/>
      <c r="NS22" s="99"/>
      <c r="NT22" s="99"/>
      <c r="NU22" s="99"/>
      <c r="NV22" s="99"/>
      <c r="NW22" s="99"/>
      <c r="NX22" s="99"/>
      <c r="NY22" s="99"/>
      <c r="NZ22" s="99"/>
      <c r="OA22" s="99"/>
      <c r="OB22" s="99"/>
      <c r="OC22" s="99"/>
      <c r="OD22" s="99"/>
      <c r="OE22" s="99"/>
      <c r="OF22" s="99"/>
      <c r="OG22" s="99"/>
      <c r="OH22" s="99"/>
      <c r="OI22" s="99"/>
      <c r="OJ22" s="99"/>
      <c r="OK22" s="99"/>
      <c r="OL22" s="99"/>
      <c r="OM22" s="99"/>
      <c r="ON22" s="99"/>
      <c r="OO22" s="99"/>
      <c r="OP22" s="99"/>
      <c r="OQ22" s="99"/>
      <c r="OR22" s="99"/>
      <c r="OS22" s="99"/>
      <c r="OT22" s="99"/>
      <c r="OU22" s="99"/>
      <c r="OV22" s="99"/>
      <c r="OW22" s="99"/>
      <c r="OX22" s="99"/>
      <c r="OY22" s="99"/>
      <c r="OZ22" s="99"/>
      <c r="PA22" s="99"/>
      <c r="PB22" s="99"/>
      <c r="PC22" s="99"/>
      <c r="PD22" s="99"/>
      <c r="PE22" s="99"/>
      <c r="PF22" s="99"/>
      <c r="PG22" s="99"/>
      <c r="PH22" s="99"/>
      <c r="PI22" s="99"/>
      <c r="PJ22" s="99"/>
      <c r="PK22" s="99"/>
      <c r="PL22" s="99"/>
      <c r="PM22" s="99"/>
      <c r="PN22" s="99"/>
      <c r="PO22" s="99"/>
      <c r="PP22" s="99"/>
      <c r="PQ22" s="99"/>
      <c r="PR22" s="99"/>
      <c r="PS22" s="99"/>
      <c r="PT22" s="99"/>
      <c r="PU22" s="99"/>
      <c r="PV22" s="99"/>
      <c r="PW22" s="99"/>
      <c r="PX22" s="99"/>
      <c r="PY22" s="99"/>
      <c r="PZ22" s="99"/>
      <c r="QA22" s="99"/>
      <c r="QB22" s="99"/>
      <c r="QC22" s="99"/>
      <c r="QD22" s="99"/>
      <c r="QE22" s="99"/>
      <c r="QF22" s="99"/>
      <c r="QG22" s="99"/>
      <c r="QH22" s="99"/>
      <c r="QI22" s="99"/>
      <c r="QJ22" s="99"/>
      <c r="QK22" s="99"/>
      <c r="QL22" s="99"/>
      <c r="QM22" s="99"/>
      <c r="QN22" s="99"/>
      <c r="QO22" s="99"/>
      <c r="QP22" s="99"/>
      <c r="QQ22" s="99"/>
      <c r="QR22" s="99"/>
      <c r="QS22" s="99"/>
      <c r="QT22" s="99"/>
      <c r="QU22" s="99"/>
      <c r="QV22" s="99"/>
      <c r="QW22" s="99"/>
      <c r="QX22" s="99"/>
      <c r="QY22" s="99"/>
      <c r="QZ22" s="99"/>
      <c r="RA22" s="99"/>
      <c r="RB22" s="99"/>
      <c r="RC22" s="99"/>
      <c r="RD22" s="99"/>
      <c r="RE22" s="99"/>
      <c r="RF22" s="99"/>
      <c r="RG22" s="99"/>
      <c r="RH22" s="99"/>
      <c r="RI22" s="99"/>
      <c r="RJ22" s="99"/>
      <c r="RK22" s="99"/>
      <c r="RL22" s="99"/>
      <c r="RM22" s="99"/>
      <c r="RN22" s="99"/>
    </row>
    <row r="23" spans="1:482" s="60" customFormat="1" ht="33.75" customHeight="1" x14ac:dyDescent="0.2">
      <c r="A23" s="122" t="s">
        <v>752</v>
      </c>
      <c r="B23" s="176" t="s">
        <v>753</v>
      </c>
      <c r="C23" s="176"/>
      <c r="D23" s="115">
        <f t="shared" si="48"/>
        <v>25</v>
      </c>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t="s">
        <v>925</v>
      </c>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v>12.5</v>
      </c>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v>12.5</v>
      </c>
      <c r="IW23" s="99"/>
      <c r="IX23" s="99"/>
      <c r="IY23" s="99"/>
      <c r="IZ23" s="99"/>
      <c r="JA23" s="99"/>
      <c r="JB23" s="99"/>
      <c r="JC23" s="99"/>
      <c r="JD23" s="99"/>
      <c r="JE23" s="99"/>
      <c r="JF23" s="99"/>
      <c r="JG23" s="99"/>
      <c r="JH23" s="99"/>
      <c r="JI23" s="99"/>
      <c r="JJ23" s="99"/>
      <c r="JK23" s="99"/>
      <c r="JL23" s="99"/>
      <c r="JM23" s="99"/>
      <c r="JN23" s="99"/>
      <c r="JO23" s="99"/>
      <c r="JP23" s="99"/>
      <c r="JQ23" s="99"/>
      <c r="JR23" s="99"/>
      <c r="JS23" s="99"/>
      <c r="JT23" s="99"/>
      <c r="JU23" s="99"/>
      <c r="JV23" s="99"/>
      <c r="JW23" s="99"/>
      <c r="JX23" s="99"/>
      <c r="JY23" s="99"/>
      <c r="JZ23" s="99"/>
      <c r="KA23" s="99"/>
      <c r="KB23" s="99"/>
      <c r="KC23" s="99"/>
      <c r="KD23" s="99"/>
      <c r="KE23" s="99"/>
      <c r="KF23" s="99"/>
      <c r="KG23" s="99"/>
      <c r="KH23" s="99"/>
      <c r="KI23" s="99"/>
      <c r="KJ23" s="99"/>
      <c r="KK23" s="99"/>
      <c r="KL23" s="99"/>
      <c r="KM23" s="99"/>
      <c r="KN23" s="99"/>
      <c r="KO23" s="99"/>
      <c r="KP23" s="99"/>
      <c r="KQ23" s="99"/>
      <c r="KR23" s="99"/>
      <c r="KS23" s="99"/>
      <c r="KT23" s="99"/>
      <c r="KU23" s="99"/>
      <c r="KV23" s="99"/>
      <c r="KW23" s="99"/>
      <c r="KX23" s="99"/>
      <c r="KY23" s="99"/>
      <c r="KZ23" s="99"/>
      <c r="LA23" s="99"/>
      <c r="LB23" s="99"/>
      <c r="LC23" s="99"/>
      <c r="LD23" s="99"/>
      <c r="LE23" s="99"/>
      <c r="LF23" s="99"/>
      <c r="LG23" s="99"/>
      <c r="LH23" s="99"/>
      <c r="LI23" s="99"/>
      <c r="LJ23" s="99"/>
      <c r="LK23" s="99"/>
      <c r="LL23" s="99"/>
      <c r="LM23" s="99"/>
      <c r="LN23" s="99"/>
      <c r="LO23" s="99"/>
      <c r="LP23" s="99"/>
      <c r="LQ23" s="99"/>
      <c r="LR23" s="99"/>
      <c r="LS23" s="99"/>
      <c r="LT23" s="99"/>
      <c r="LU23" s="99"/>
      <c r="LV23" s="99"/>
      <c r="LW23" s="99"/>
      <c r="LX23" s="99"/>
      <c r="LY23" s="99"/>
      <c r="LZ23" s="99"/>
      <c r="MA23" s="99"/>
      <c r="MB23" s="99"/>
      <c r="MC23" s="99"/>
      <c r="MD23" s="99"/>
      <c r="ME23" s="99"/>
      <c r="MF23" s="99"/>
      <c r="MG23" s="99"/>
      <c r="MH23" s="99"/>
      <c r="MI23" s="99"/>
      <c r="MJ23" s="99"/>
      <c r="MK23" s="99"/>
      <c r="ML23" s="99"/>
      <c r="MM23" s="99"/>
      <c r="MN23" s="99"/>
      <c r="MO23" s="99"/>
      <c r="MP23" s="99"/>
      <c r="MQ23" s="99"/>
      <c r="MR23" s="99"/>
      <c r="MS23" s="99"/>
      <c r="MT23" s="99"/>
      <c r="MU23" s="99"/>
      <c r="MV23" s="99"/>
      <c r="MW23" s="99"/>
      <c r="MX23" s="99"/>
      <c r="MY23" s="99"/>
      <c r="MZ23" s="99"/>
      <c r="NA23" s="99"/>
      <c r="NB23" s="99"/>
      <c r="NC23" s="99"/>
      <c r="ND23" s="99"/>
      <c r="NE23" s="99"/>
      <c r="NF23" s="99"/>
      <c r="NG23" s="99"/>
      <c r="NH23" s="99"/>
      <c r="NI23" s="99"/>
      <c r="NJ23" s="99"/>
      <c r="NK23" s="99"/>
      <c r="NL23" s="99"/>
      <c r="NM23" s="99"/>
      <c r="NN23" s="99"/>
      <c r="NO23" s="99"/>
      <c r="NP23" s="99"/>
      <c r="NQ23" s="99"/>
      <c r="NR23" s="99"/>
      <c r="NS23" s="99"/>
      <c r="NT23" s="99"/>
      <c r="NU23" s="99"/>
      <c r="NV23" s="99"/>
      <c r="NW23" s="99"/>
      <c r="NX23" s="99"/>
      <c r="NY23" s="99"/>
      <c r="NZ23" s="99"/>
      <c r="OA23" s="99"/>
      <c r="OB23" s="99"/>
      <c r="OC23" s="99"/>
      <c r="OD23" s="99"/>
      <c r="OE23" s="99"/>
      <c r="OF23" s="99"/>
      <c r="OG23" s="99"/>
      <c r="OH23" s="99"/>
      <c r="OI23" s="99"/>
      <c r="OJ23" s="99"/>
      <c r="OK23" s="99"/>
      <c r="OL23" s="99"/>
      <c r="OM23" s="99"/>
      <c r="ON23" s="99"/>
      <c r="OO23" s="99"/>
      <c r="OP23" s="99"/>
      <c r="OQ23" s="99"/>
      <c r="OR23" s="99"/>
      <c r="OS23" s="99"/>
      <c r="OT23" s="99"/>
      <c r="OU23" s="99"/>
      <c r="OV23" s="99"/>
      <c r="OW23" s="99"/>
      <c r="OX23" s="99"/>
      <c r="OY23" s="99"/>
      <c r="OZ23" s="99"/>
      <c r="PA23" s="99"/>
      <c r="PB23" s="99"/>
      <c r="PC23" s="99"/>
      <c r="PD23" s="99"/>
      <c r="PE23" s="99"/>
      <c r="PF23" s="99"/>
      <c r="PG23" s="99"/>
      <c r="PH23" s="99"/>
      <c r="PI23" s="99"/>
      <c r="PJ23" s="99"/>
      <c r="PK23" s="99"/>
      <c r="PL23" s="99"/>
      <c r="PM23" s="99"/>
      <c r="PN23" s="99"/>
      <c r="PO23" s="99"/>
      <c r="PP23" s="99"/>
      <c r="PQ23" s="99"/>
      <c r="PR23" s="99"/>
      <c r="PS23" s="99"/>
      <c r="PT23" s="99"/>
      <c r="PU23" s="99"/>
      <c r="PV23" s="99"/>
      <c r="PW23" s="99"/>
      <c r="PX23" s="99"/>
      <c r="PY23" s="99"/>
      <c r="PZ23" s="99"/>
      <c r="QA23" s="99"/>
      <c r="QB23" s="99"/>
      <c r="QC23" s="99"/>
      <c r="QD23" s="99"/>
      <c r="QE23" s="99"/>
      <c r="QF23" s="99"/>
      <c r="QG23" s="99"/>
      <c r="QH23" s="99"/>
      <c r="QI23" s="99"/>
      <c r="QJ23" s="99"/>
      <c r="QK23" s="99"/>
      <c r="QL23" s="99"/>
      <c r="QM23" s="99"/>
      <c r="QN23" s="99"/>
      <c r="QO23" s="99"/>
      <c r="QP23" s="99"/>
      <c r="QQ23" s="99"/>
      <c r="QR23" s="99"/>
      <c r="QS23" s="99"/>
      <c r="QT23" s="99"/>
      <c r="QU23" s="99"/>
      <c r="QV23" s="99"/>
      <c r="QW23" s="99"/>
      <c r="QX23" s="99"/>
      <c r="QY23" s="99"/>
      <c r="QZ23" s="99"/>
      <c r="RA23" s="99"/>
      <c r="RB23" s="99"/>
      <c r="RC23" s="99"/>
      <c r="RD23" s="99"/>
      <c r="RE23" s="99"/>
      <c r="RF23" s="99"/>
      <c r="RG23" s="99"/>
      <c r="RH23" s="99"/>
      <c r="RI23" s="99"/>
      <c r="RJ23" s="99"/>
      <c r="RK23" s="99"/>
      <c r="RL23" s="99"/>
      <c r="RM23" s="99"/>
      <c r="RN23" s="99"/>
    </row>
    <row r="24" spans="1:482" s="60" customFormat="1" ht="11.25" customHeight="1" x14ac:dyDescent="0.2">
      <c r="A24" s="122" t="s">
        <v>754</v>
      </c>
      <c r="B24" s="176" t="s">
        <v>755</v>
      </c>
      <c r="C24" s="176"/>
      <c r="D24" s="115">
        <f t="shared" si="48"/>
        <v>48069769.499999985</v>
      </c>
      <c r="E24" s="114">
        <v>11976.3</v>
      </c>
      <c r="F24" s="114">
        <v>4905.3</v>
      </c>
      <c r="G24" s="114">
        <v>14290</v>
      </c>
      <c r="H24" s="114">
        <v>2287925.2999999998</v>
      </c>
      <c r="I24" s="114">
        <v>6190.8</v>
      </c>
      <c r="J24" s="114">
        <v>358312.5</v>
      </c>
      <c r="K24" s="114">
        <v>32712.5</v>
      </c>
      <c r="L24" s="114">
        <v>3051.8</v>
      </c>
      <c r="M24" s="114">
        <v>18402.099999999999</v>
      </c>
      <c r="N24" s="114"/>
      <c r="O24" s="114">
        <v>7489.7</v>
      </c>
      <c r="P24" s="114">
        <v>189618.9</v>
      </c>
      <c r="Q24" s="114">
        <v>155507.5</v>
      </c>
      <c r="R24" s="114">
        <v>177224.7</v>
      </c>
      <c r="S24" s="114">
        <v>3566</v>
      </c>
      <c r="T24" s="114">
        <v>1007.4</v>
      </c>
      <c r="U24" s="114"/>
      <c r="V24" s="114">
        <v>5370</v>
      </c>
      <c r="W24" s="114"/>
      <c r="X24" s="114">
        <v>269062.3</v>
      </c>
      <c r="Y24" s="114">
        <v>50216.5</v>
      </c>
      <c r="Z24" s="114">
        <v>13802.9</v>
      </c>
      <c r="AA24" s="114"/>
      <c r="AB24" s="114"/>
      <c r="AC24" s="114">
        <v>12877.8</v>
      </c>
      <c r="AD24" s="114">
        <v>358723.9</v>
      </c>
      <c r="AE24" s="114">
        <v>16121844.1</v>
      </c>
      <c r="AF24" s="114">
        <v>243877.1</v>
      </c>
      <c r="AG24" s="114">
        <v>56329.3</v>
      </c>
      <c r="AH24" s="114">
        <v>133342.20000000001</v>
      </c>
      <c r="AI24" s="114">
        <v>34492</v>
      </c>
      <c r="AJ24" s="114">
        <f>3163556+438919</f>
        <v>3602475</v>
      </c>
      <c r="AK24" s="114">
        <v>1582280.2</v>
      </c>
      <c r="AL24" s="114">
        <v>12014.6</v>
      </c>
      <c r="AM24" s="114">
        <v>234081.6</v>
      </c>
      <c r="AN24" s="114">
        <v>12206.7</v>
      </c>
      <c r="AO24" s="114">
        <v>11940.2</v>
      </c>
      <c r="AP24" s="114">
        <v>2777951.1</v>
      </c>
      <c r="AQ24" s="114">
        <v>242381.2</v>
      </c>
      <c r="AR24" s="114">
        <v>5326.1</v>
      </c>
      <c r="AS24" s="114">
        <v>55970.1</v>
      </c>
      <c r="AT24" s="114">
        <v>3327735.6</v>
      </c>
      <c r="AU24" s="114">
        <v>21357.1</v>
      </c>
      <c r="AV24" s="114">
        <v>72917</v>
      </c>
      <c r="AW24" s="114"/>
      <c r="AX24" s="114">
        <v>40230.300000000003</v>
      </c>
      <c r="AY24" s="114">
        <v>2976.4</v>
      </c>
      <c r="AZ24" s="114">
        <v>126.4</v>
      </c>
      <c r="BA24" s="114">
        <v>34634.800000000003</v>
      </c>
      <c r="BB24" s="114">
        <v>852977</v>
      </c>
      <c r="BC24" s="114">
        <v>1037536</v>
      </c>
      <c r="BD24" s="114">
        <v>106858.8</v>
      </c>
      <c r="BE24" s="114">
        <v>721009.2</v>
      </c>
      <c r="BF24" s="114"/>
      <c r="BG24" s="114">
        <v>2125.3000000000002</v>
      </c>
      <c r="BH24" s="114">
        <v>16485.2</v>
      </c>
      <c r="BI24" s="114">
        <v>3596.6</v>
      </c>
      <c r="BJ24" s="114">
        <v>19449.400000000001</v>
      </c>
      <c r="BK24" s="114" t="s">
        <v>926</v>
      </c>
      <c r="BL24" s="99"/>
      <c r="BM24" s="99"/>
      <c r="BN24" s="99">
        <v>2446.6</v>
      </c>
      <c r="BO24" s="99">
        <v>701.5</v>
      </c>
      <c r="BP24" s="99">
        <v>8532.7999999999993</v>
      </c>
      <c r="BQ24" s="99">
        <v>9005</v>
      </c>
      <c r="BR24" s="99">
        <v>35379.599999999999</v>
      </c>
      <c r="BS24" s="99">
        <v>10074.200000000001</v>
      </c>
      <c r="BT24" s="99"/>
      <c r="BU24" s="99"/>
      <c r="BV24" s="99">
        <v>55911.1</v>
      </c>
      <c r="BW24" s="99">
        <v>3319.5</v>
      </c>
      <c r="BX24" s="99">
        <v>37816.699999999997</v>
      </c>
      <c r="BY24" s="99"/>
      <c r="BZ24" s="99">
        <v>74194.399999999994</v>
      </c>
      <c r="CA24" s="99">
        <v>1144</v>
      </c>
      <c r="CB24" s="99"/>
      <c r="CC24" s="99">
        <v>106778</v>
      </c>
      <c r="CD24" s="99">
        <v>130600.8</v>
      </c>
      <c r="CE24" s="99">
        <v>20207.7</v>
      </c>
      <c r="CF24" s="99"/>
      <c r="CG24" s="99">
        <v>3857.2</v>
      </c>
      <c r="CH24" s="99">
        <v>7055.5</v>
      </c>
      <c r="CI24" s="99">
        <v>498.4</v>
      </c>
      <c r="CJ24" s="99">
        <v>21132.7</v>
      </c>
      <c r="CK24" s="99"/>
      <c r="CL24" s="99">
        <v>18930.400000000001</v>
      </c>
      <c r="CM24" s="99">
        <v>93374.9</v>
      </c>
      <c r="CN24" s="99">
        <v>21422.9</v>
      </c>
      <c r="CO24" s="99">
        <v>19605</v>
      </c>
      <c r="CP24" s="99">
        <v>27257.7</v>
      </c>
      <c r="CQ24" s="99">
        <v>4026.7</v>
      </c>
      <c r="CR24" s="99"/>
      <c r="CS24" s="99">
        <v>1608562.8</v>
      </c>
      <c r="CT24" s="99"/>
      <c r="CU24" s="99"/>
      <c r="CV24" s="99">
        <v>7299.4</v>
      </c>
      <c r="CW24" s="99">
        <v>137309.29999999999</v>
      </c>
      <c r="CX24" s="99">
        <v>4591.8</v>
      </c>
      <c r="CY24" s="99">
        <v>3698.1</v>
      </c>
      <c r="CZ24" s="99"/>
      <c r="DA24" s="99">
        <v>128400</v>
      </c>
      <c r="DB24" s="99">
        <v>25460</v>
      </c>
      <c r="DC24" s="99">
        <v>1188</v>
      </c>
      <c r="DD24" s="99"/>
      <c r="DE24" s="99"/>
      <c r="DF24" s="99">
        <v>10605.2</v>
      </c>
      <c r="DG24" s="99">
        <v>79635.3</v>
      </c>
      <c r="DH24" s="99">
        <v>689.8</v>
      </c>
      <c r="DI24" s="99">
        <v>29504.400000000001</v>
      </c>
      <c r="DJ24" s="99"/>
      <c r="DK24" s="99"/>
      <c r="DL24" s="99">
        <v>352622.6</v>
      </c>
      <c r="DM24" s="99">
        <v>2101.8000000000002</v>
      </c>
      <c r="DN24" s="99">
        <v>680.4</v>
      </c>
      <c r="DO24" s="99">
        <v>34996.5</v>
      </c>
      <c r="DP24" s="99">
        <v>10024</v>
      </c>
      <c r="DQ24" s="99"/>
      <c r="DR24" s="99">
        <v>50786.5</v>
      </c>
      <c r="DS24" s="99"/>
      <c r="DT24" s="99"/>
      <c r="DU24" s="99">
        <v>9994.2999999999993</v>
      </c>
      <c r="DV24" s="99">
        <v>197834.9</v>
      </c>
      <c r="DW24" s="99">
        <v>17853.7</v>
      </c>
      <c r="DX24" s="99">
        <v>18994.2</v>
      </c>
      <c r="DY24" s="99"/>
      <c r="DZ24" s="99"/>
      <c r="EA24" s="99"/>
      <c r="EB24" s="99"/>
      <c r="EC24" s="99"/>
      <c r="ED24" s="99">
        <v>22112.799999999999</v>
      </c>
      <c r="EE24" s="99"/>
      <c r="EF24" s="99">
        <v>5009.1000000000004</v>
      </c>
      <c r="EG24" s="99">
        <v>29680.3</v>
      </c>
      <c r="EH24" s="99">
        <v>5666.3</v>
      </c>
      <c r="EI24" s="99">
        <v>491363.8</v>
      </c>
      <c r="EJ24" s="99">
        <v>276.5</v>
      </c>
      <c r="EK24" s="99">
        <v>19532.8</v>
      </c>
      <c r="EL24" s="99">
        <v>41840.6</v>
      </c>
      <c r="EM24" s="99">
        <v>504</v>
      </c>
      <c r="EN24" s="99">
        <v>7053.5</v>
      </c>
      <c r="EO24" s="99"/>
      <c r="EP24" s="99"/>
      <c r="EQ24" s="99">
        <v>25606.2</v>
      </c>
      <c r="ER24" s="99">
        <v>332881.3</v>
      </c>
      <c r="ES24" s="99">
        <v>11549.6</v>
      </c>
      <c r="ET24" s="99">
        <v>12331.4</v>
      </c>
      <c r="EU24" s="99">
        <v>7439.8</v>
      </c>
      <c r="EV24" s="99">
        <v>766.1</v>
      </c>
      <c r="EW24" s="99">
        <v>1193.2</v>
      </c>
      <c r="EX24" s="99">
        <v>1693.5</v>
      </c>
      <c r="EY24" s="99">
        <v>1172.4000000000001</v>
      </c>
      <c r="EZ24" s="99">
        <v>447.1</v>
      </c>
      <c r="FA24" s="99"/>
      <c r="FB24" s="99">
        <v>680.4</v>
      </c>
      <c r="FC24" s="99"/>
      <c r="FD24" s="99">
        <v>15015</v>
      </c>
      <c r="FE24" s="99">
        <v>6386.1</v>
      </c>
      <c r="FF24" s="99"/>
      <c r="FG24" s="99">
        <v>57203.3</v>
      </c>
      <c r="FH24" s="99">
        <v>6073</v>
      </c>
      <c r="FI24" s="99">
        <v>6478.4</v>
      </c>
      <c r="FJ24" s="99"/>
      <c r="FK24" s="99">
        <v>1332.3</v>
      </c>
      <c r="FL24" s="99">
        <v>803.1</v>
      </c>
      <c r="FM24" s="99">
        <v>32249.3</v>
      </c>
      <c r="FN24" s="99">
        <v>5485.5</v>
      </c>
      <c r="FO24" s="99">
        <v>18550</v>
      </c>
      <c r="FP24" s="99">
        <v>31160</v>
      </c>
      <c r="FQ24" s="99">
        <v>9321.1</v>
      </c>
      <c r="FR24" s="99"/>
      <c r="FS24" s="99">
        <v>2552</v>
      </c>
      <c r="FT24" s="99"/>
      <c r="FU24" s="99"/>
      <c r="FV24" s="99">
        <v>4943.6000000000004</v>
      </c>
      <c r="FW24" s="99"/>
      <c r="FX24" s="99"/>
      <c r="FY24" s="99"/>
      <c r="FZ24" s="99"/>
      <c r="GA24" s="99"/>
      <c r="GB24" s="99">
        <v>32750</v>
      </c>
      <c r="GC24" s="99">
        <v>1200</v>
      </c>
      <c r="GD24" s="99">
        <v>13761</v>
      </c>
      <c r="GE24" s="99"/>
      <c r="GF24" s="99"/>
      <c r="GG24" s="99"/>
      <c r="GH24" s="99">
        <v>20532.5</v>
      </c>
      <c r="GI24" s="99">
        <v>197971.20000000001</v>
      </c>
      <c r="GJ24" s="99">
        <v>8723</v>
      </c>
      <c r="GK24" s="99"/>
      <c r="GL24" s="99">
        <v>2181.8000000000002</v>
      </c>
      <c r="GM24" s="99">
        <v>2371.3000000000002</v>
      </c>
      <c r="GN24" s="99"/>
      <c r="GO24" s="99"/>
      <c r="GP24" s="99">
        <v>435.6</v>
      </c>
      <c r="GQ24" s="99"/>
      <c r="GR24" s="99">
        <v>4101.3</v>
      </c>
      <c r="GS24" s="99"/>
      <c r="GT24" s="99"/>
      <c r="GU24" s="99">
        <v>3307</v>
      </c>
      <c r="GV24" s="99">
        <v>5957.3</v>
      </c>
      <c r="GW24" s="99">
        <v>2669.2</v>
      </c>
      <c r="GX24" s="99"/>
      <c r="GY24" s="99"/>
      <c r="GZ24" s="99"/>
      <c r="HA24" s="99">
        <v>26811.200000000001</v>
      </c>
      <c r="HB24" s="99"/>
      <c r="HC24" s="99"/>
      <c r="HD24" s="99"/>
      <c r="HE24" s="99">
        <v>26565.200000000001</v>
      </c>
      <c r="HF24" s="99"/>
      <c r="HG24" s="99">
        <v>3963.3</v>
      </c>
      <c r="HH24" s="99"/>
      <c r="HI24" s="99">
        <v>7181.1</v>
      </c>
      <c r="HJ24" s="99">
        <v>5150</v>
      </c>
      <c r="HK24" s="99"/>
      <c r="HL24" s="99"/>
      <c r="HM24" s="99">
        <v>100064.8</v>
      </c>
      <c r="HN24" s="99">
        <v>85468.9</v>
      </c>
      <c r="HO24" s="99"/>
      <c r="HP24" s="99">
        <v>13999.7</v>
      </c>
      <c r="HQ24" s="99"/>
      <c r="HR24" s="99"/>
      <c r="HS24" s="99">
        <v>1107.8</v>
      </c>
      <c r="HT24" s="99">
        <v>30349.200000000001</v>
      </c>
      <c r="HU24" s="99"/>
      <c r="HV24" s="99">
        <v>2550.5</v>
      </c>
      <c r="HW24" s="99"/>
      <c r="HX24" s="99"/>
      <c r="HY24" s="99">
        <v>27716.5</v>
      </c>
      <c r="HZ24" s="99">
        <v>7018.8</v>
      </c>
      <c r="IA24" s="99">
        <v>7667.8</v>
      </c>
      <c r="IB24" s="99">
        <v>3014.9</v>
      </c>
      <c r="IC24" s="99">
        <v>17805.7</v>
      </c>
      <c r="ID24" s="99">
        <v>49091.5</v>
      </c>
      <c r="IE24" s="99"/>
      <c r="IF24" s="99">
        <v>5986</v>
      </c>
      <c r="IG24" s="99"/>
      <c r="IH24" s="99">
        <v>9599.5</v>
      </c>
      <c r="II24" s="99">
        <v>63036.1</v>
      </c>
      <c r="IJ24" s="99">
        <v>25797.8</v>
      </c>
      <c r="IK24" s="99">
        <v>23496.2</v>
      </c>
      <c r="IL24" s="99">
        <v>8188</v>
      </c>
      <c r="IM24" s="99">
        <v>8077.6</v>
      </c>
      <c r="IN24" s="99"/>
      <c r="IO24" s="99">
        <v>7491.3</v>
      </c>
      <c r="IP24" s="99"/>
      <c r="IQ24" s="99"/>
      <c r="IR24" s="99">
        <v>532076.1</v>
      </c>
      <c r="IS24" s="99"/>
      <c r="IT24" s="99">
        <v>6054</v>
      </c>
      <c r="IU24" s="99">
        <v>117062.2</v>
      </c>
      <c r="IV24" s="99">
        <v>499112.7</v>
      </c>
      <c r="IW24" s="99"/>
      <c r="IX24" s="99">
        <v>1442.4</v>
      </c>
      <c r="IY24" s="99">
        <v>53783.3</v>
      </c>
      <c r="IZ24" s="99"/>
      <c r="JA24" s="99">
        <v>1110.0999999999999</v>
      </c>
      <c r="JB24" s="99">
        <v>38659.199999999997</v>
      </c>
      <c r="JC24" s="99">
        <v>3717.4</v>
      </c>
      <c r="JD24" s="99"/>
      <c r="JE24" s="99"/>
      <c r="JF24" s="99"/>
      <c r="JG24" s="99"/>
      <c r="JH24" s="99"/>
      <c r="JI24" s="99">
        <v>12005.5</v>
      </c>
      <c r="JJ24" s="99"/>
      <c r="JK24" s="99">
        <v>27135.4</v>
      </c>
      <c r="JL24" s="99">
        <v>3922.6</v>
      </c>
      <c r="JM24" s="99">
        <v>30817.7</v>
      </c>
      <c r="JN24" s="99"/>
      <c r="JO24" s="99"/>
      <c r="JP24" s="99"/>
      <c r="JQ24" s="99"/>
      <c r="JR24" s="99"/>
      <c r="JS24" s="99"/>
      <c r="JT24" s="99">
        <v>216290.4</v>
      </c>
      <c r="JU24" s="99"/>
      <c r="JV24" s="99"/>
      <c r="JW24" s="99">
        <v>3598.3</v>
      </c>
      <c r="JX24" s="99"/>
      <c r="JY24" s="99"/>
      <c r="JZ24" s="99">
        <v>15705.7</v>
      </c>
      <c r="KA24" s="99">
        <v>8284.4</v>
      </c>
      <c r="KB24" s="99"/>
      <c r="KC24" s="99">
        <v>3642.7</v>
      </c>
      <c r="KD24" s="99"/>
      <c r="KE24" s="99">
        <v>2000</v>
      </c>
      <c r="KF24" s="99"/>
      <c r="KG24" s="99"/>
      <c r="KH24" s="99"/>
      <c r="KI24" s="99">
        <v>5004.3</v>
      </c>
      <c r="KJ24" s="99">
        <v>911060.2</v>
      </c>
      <c r="KK24" s="99">
        <v>745.2</v>
      </c>
      <c r="KL24" s="99"/>
      <c r="KM24" s="99">
        <v>1024</v>
      </c>
      <c r="KN24" s="99">
        <v>5455.3</v>
      </c>
      <c r="KO24" s="99"/>
      <c r="KP24" s="99"/>
      <c r="KQ24" s="99">
        <v>4272.3999999999996</v>
      </c>
      <c r="KR24" s="99">
        <v>300750</v>
      </c>
      <c r="KS24" s="99">
        <v>103789</v>
      </c>
      <c r="KT24" s="99">
        <v>3630.1</v>
      </c>
      <c r="KU24" s="99">
        <v>10831.5</v>
      </c>
      <c r="KV24" s="99">
        <v>10463.700000000001</v>
      </c>
      <c r="KW24" s="99"/>
      <c r="KX24" s="99">
        <v>142589.9</v>
      </c>
      <c r="KY24" s="99">
        <v>51341.8</v>
      </c>
      <c r="KZ24" s="99">
        <v>3815.4</v>
      </c>
      <c r="LA24" s="99">
        <v>7997.7</v>
      </c>
      <c r="LB24" s="99"/>
      <c r="LC24" s="99"/>
      <c r="LD24" s="99"/>
      <c r="LE24" s="99"/>
      <c r="LF24" s="99"/>
      <c r="LG24" s="99">
        <v>298</v>
      </c>
      <c r="LH24" s="99">
        <v>7399.4</v>
      </c>
      <c r="LI24" s="99">
        <v>1584</v>
      </c>
      <c r="LJ24" s="99"/>
      <c r="LK24" s="99"/>
      <c r="LL24" s="99">
        <v>1380.6</v>
      </c>
      <c r="LM24" s="99"/>
      <c r="LN24" s="99"/>
      <c r="LO24" s="99">
        <v>1619.3</v>
      </c>
      <c r="LP24" s="99">
        <v>11303.8</v>
      </c>
      <c r="LQ24" s="99">
        <v>16709.900000000001</v>
      </c>
      <c r="LR24" s="99"/>
      <c r="LS24" s="99"/>
      <c r="LT24" s="99">
        <v>19153.3</v>
      </c>
      <c r="LU24" s="99"/>
      <c r="LV24" s="99">
        <v>82685.3</v>
      </c>
      <c r="LW24" s="99">
        <v>20959.2</v>
      </c>
      <c r="LX24" s="99"/>
      <c r="LY24" s="99"/>
      <c r="LZ24" s="99">
        <v>1976</v>
      </c>
      <c r="MA24" s="99"/>
      <c r="MB24" s="99">
        <v>1617.2</v>
      </c>
      <c r="MC24" s="99"/>
      <c r="MD24" s="99">
        <v>12500</v>
      </c>
      <c r="ME24" s="99"/>
      <c r="MF24" s="99">
        <v>1827</v>
      </c>
      <c r="MG24" s="99"/>
      <c r="MH24" s="99">
        <v>18459.3</v>
      </c>
      <c r="MI24" s="99">
        <v>3355.6</v>
      </c>
      <c r="MJ24" s="99"/>
      <c r="MK24" s="99"/>
      <c r="ML24" s="99">
        <v>8332</v>
      </c>
      <c r="MM24" s="99">
        <v>7276.3</v>
      </c>
      <c r="MN24" s="99">
        <v>6762</v>
      </c>
      <c r="MO24" s="99"/>
      <c r="MP24" s="99"/>
      <c r="MQ24" s="99">
        <v>4968</v>
      </c>
      <c r="MR24" s="99">
        <v>573</v>
      </c>
      <c r="MS24" s="99">
        <v>4206</v>
      </c>
      <c r="MT24" s="99">
        <v>2111.1999999999998</v>
      </c>
      <c r="MU24" s="99">
        <v>100</v>
      </c>
      <c r="MV24" s="99"/>
      <c r="MW24" s="99">
        <v>9134.1</v>
      </c>
      <c r="MX24" s="99"/>
      <c r="MY24" s="99">
        <v>323.60000000000002</v>
      </c>
      <c r="MZ24" s="99"/>
      <c r="NA24" s="99">
        <v>18881</v>
      </c>
      <c r="NB24" s="99">
        <v>2700</v>
      </c>
      <c r="NC24" s="99"/>
      <c r="ND24" s="99"/>
      <c r="NE24" s="99"/>
      <c r="NF24" s="99">
        <v>55154.8</v>
      </c>
      <c r="NG24" s="99">
        <v>22036</v>
      </c>
      <c r="NH24" s="99">
        <v>1260</v>
      </c>
      <c r="NI24" s="99"/>
      <c r="NJ24" s="99"/>
      <c r="NK24" s="99">
        <v>8080.4</v>
      </c>
      <c r="NL24" s="99">
        <v>16077.1</v>
      </c>
      <c r="NM24" s="99">
        <v>45477.9</v>
      </c>
      <c r="NN24" s="99">
        <v>26188.400000000001</v>
      </c>
      <c r="NO24" s="99"/>
      <c r="NP24" s="99"/>
      <c r="NQ24" s="99"/>
      <c r="NR24" s="99">
        <v>4716.5</v>
      </c>
      <c r="NS24" s="99"/>
      <c r="NT24" s="99">
        <v>724.5</v>
      </c>
      <c r="NU24" s="99"/>
      <c r="NV24" s="99">
        <v>7088</v>
      </c>
      <c r="NW24" s="99">
        <v>149.5</v>
      </c>
      <c r="NX24" s="99">
        <v>3765</v>
      </c>
      <c r="NY24" s="99">
        <v>4216</v>
      </c>
      <c r="NZ24" s="99"/>
      <c r="OA24" s="99">
        <v>469.2</v>
      </c>
      <c r="OB24" s="99">
        <v>68</v>
      </c>
      <c r="OC24" s="99">
        <v>50488.4</v>
      </c>
      <c r="OD24" s="99"/>
      <c r="OE24" s="99"/>
      <c r="OF24" s="99">
        <v>47361.1</v>
      </c>
      <c r="OG24" s="99">
        <v>7330.2</v>
      </c>
      <c r="OH24" s="99">
        <v>1997.6</v>
      </c>
      <c r="OI24" s="99">
        <v>11627.5</v>
      </c>
      <c r="OJ24" s="99">
        <v>128644.8</v>
      </c>
      <c r="OK24" s="99">
        <v>19468.099999999999</v>
      </c>
      <c r="OL24" s="99">
        <v>31955.8</v>
      </c>
      <c r="OM24" s="99">
        <v>671105.7</v>
      </c>
      <c r="ON24" s="99"/>
      <c r="OO24" s="99">
        <v>1604.9</v>
      </c>
      <c r="OP24" s="99">
        <v>1768.3</v>
      </c>
      <c r="OQ24" s="99"/>
      <c r="OR24" s="99">
        <v>8246.2999999999993</v>
      </c>
      <c r="OS24" s="99">
        <v>139562.20000000001</v>
      </c>
      <c r="OT24" s="99"/>
      <c r="OU24" s="99">
        <v>11175.6</v>
      </c>
      <c r="OV24" s="99"/>
      <c r="OW24" s="99"/>
      <c r="OX24" s="99">
        <v>2075.4</v>
      </c>
      <c r="OY24" s="99"/>
      <c r="OZ24" s="99">
        <v>375584.4</v>
      </c>
      <c r="PA24" s="99">
        <v>10573.1</v>
      </c>
      <c r="PB24" s="99"/>
      <c r="PC24" s="99">
        <v>2669</v>
      </c>
      <c r="PD24" s="99">
        <v>3133.6</v>
      </c>
      <c r="PE24" s="99"/>
      <c r="PF24" s="99">
        <v>3519.5</v>
      </c>
      <c r="PG24" s="99">
        <v>1145242.2</v>
      </c>
      <c r="PH24" s="99">
        <v>6465.9</v>
      </c>
      <c r="PI24" s="99">
        <v>14467.3</v>
      </c>
      <c r="PJ24" s="99">
        <v>27983.7</v>
      </c>
      <c r="PK24" s="99">
        <v>544.29999999999995</v>
      </c>
      <c r="PL24" s="99">
        <v>84.2</v>
      </c>
      <c r="PM24" s="99"/>
      <c r="PN24" s="99">
        <v>5897.2</v>
      </c>
      <c r="PO24" s="99">
        <v>7585.7</v>
      </c>
      <c r="PP24" s="99">
        <v>2127.1</v>
      </c>
      <c r="PQ24" s="99">
        <v>4948.6000000000004</v>
      </c>
      <c r="PR24" s="99">
        <v>14897.9</v>
      </c>
      <c r="PS24" s="99">
        <v>9985.7999999999993</v>
      </c>
      <c r="PT24" s="99">
        <v>612.4</v>
      </c>
      <c r="PU24" s="99"/>
      <c r="PV24" s="99"/>
      <c r="PW24" s="99">
        <v>15335.1</v>
      </c>
      <c r="PX24" s="99"/>
      <c r="PY24" s="99"/>
      <c r="PZ24" s="99">
        <v>1031.8</v>
      </c>
      <c r="QA24" s="99">
        <v>127804.7</v>
      </c>
      <c r="QB24" s="99">
        <v>1269.5999999999999</v>
      </c>
      <c r="QC24" s="99"/>
      <c r="QD24" s="99">
        <v>107058.8</v>
      </c>
      <c r="QE24" s="99">
        <v>16637.2</v>
      </c>
      <c r="QF24" s="99">
        <v>3463.8</v>
      </c>
      <c r="QG24" s="99">
        <v>554.4</v>
      </c>
      <c r="QH24" s="99"/>
      <c r="QI24" s="99">
        <v>16787</v>
      </c>
      <c r="QJ24" s="99"/>
      <c r="QK24" s="99"/>
      <c r="QL24" s="99"/>
      <c r="QM24" s="99">
        <v>5104.8</v>
      </c>
      <c r="QN24" s="99">
        <v>23222.799999999999</v>
      </c>
      <c r="QO24" s="99">
        <v>20506.900000000001</v>
      </c>
      <c r="QP24" s="99">
        <v>3312</v>
      </c>
      <c r="QQ24" s="99">
        <v>112340</v>
      </c>
      <c r="QR24" s="99">
        <v>195829.1</v>
      </c>
      <c r="QS24" s="99">
        <v>30542</v>
      </c>
      <c r="QT24" s="99">
        <v>4469.1000000000004</v>
      </c>
      <c r="QU24" s="99"/>
      <c r="QV24" s="99"/>
      <c r="QW24" s="99"/>
      <c r="QX24" s="99"/>
      <c r="QY24" s="99"/>
      <c r="QZ24" s="99">
        <v>1093</v>
      </c>
      <c r="RA24" s="99"/>
      <c r="RB24" s="99">
        <v>2845</v>
      </c>
      <c r="RC24" s="99"/>
      <c r="RD24" s="99">
        <v>289</v>
      </c>
      <c r="RE24" s="99"/>
      <c r="RF24" s="99">
        <v>20000</v>
      </c>
      <c r="RG24" s="99">
        <v>56230</v>
      </c>
      <c r="RH24" s="99">
        <v>1386</v>
      </c>
      <c r="RI24" s="99"/>
      <c r="RJ24" s="99">
        <v>718.6</v>
      </c>
      <c r="RK24" s="99">
        <v>33396.699999999997</v>
      </c>
      <c r="RL24" s="99">
        <v>570.20000000000005</v>
      </c>
      <c r="RM24" s="99"/>
      <c r="RN24" s="99"/>
    </row>
    <row r="25" spans="1:482" s="60" customFormat="1" ht="11.25" x14ac:dyDescent="0.2">
      <c r="A25" s="179" t="s">
        <v>862</v>
      </c>
      <c r="B25" s="179"/>
      <c r="C25" s="179"/>
      <c r="D25" s="142">
        <f t="shared" ref="D25:AV25" si="49">SUM(D26:D34)</f>
        <v>12339253.309999999</v>
      </c>
      <c r="E25" s="142">
        <f t="shared" si="49"/>
        <v>0</v>
      </c>
      <c r="F25" s="142">
        <f t="shared" si="49"/>
        <v>0</v>
      </c>
      <c r="G25" s="142">
        <f t="shared" si="49"/>
        <v>12818.3</v>
      </c>
      <c r="H25" s="142">
        <f t="shared" si="49"/>
        <v>0</v>
      </c>
      <c r="I25" s="142">
        <f t="shared" si="49"/>
        <v>0</v>
      </c>
      <c r="J25" s="142">
        <f t="shared" si="49"/>
        <v>0</v>
      </c>
      <c r="K25" s="142">
        <f t="shared" si="49"/>
        <v>0</v>
      </c>
      <c r="L25" s="142">
        <f t="shared" si="49"/>
        <v>0</v>
      </c>
      <c r="M25" s="142">
        <f t="shared" si="49"/>
        <v>0</v>
      </c>
      <c r="N25" s="142">
        <f t="shared" si="49"/>
        <v>0</v>
      </c>
      <c r="O25" s="142">
        <f t="shared" si="49"/>
        <v>0</v>
      </c>
      <c r="P25" s="142">
        <f t="shared" si="49"/>
        <v>26693</v>
      </c>
      <c r="Q25" s="142">
        <f t="shared" si="49"/>
        <v>0</v>
      </c>
      <c r="R25" s="142">
        <f t="shared" si="49"/>
        <v>15293.4</v>
      </c>
      <c r="S25" s="142">
        <f t="shared" si="49"/>
        <v>0</v>
      </c>
      <c r="T25" s="142">
        <f t="shared" si="49"/>
        <v>0</v>
      </c>
      <c r="U25" s="142">
        <f t="shared" si="49"/>
        <v>0</v>
      </c>
      <c r="V25" s="142">
        <f t="shared" si="49"/>
        <v>0</v>
      </c>
      <c r="W25" s="142">
        <f t="shared" si="49"/>
        <v>0</v>
      </c>
      <c r="X25" s="142">
        <f t="shared" si="49"/>
        <v>35507.599999999999</v>
      </c>
      <c r="Y25" s="142">
        <f t="shared" si="49"/>
        <v>0</v>
      </c>
      <c r="Z25" s="142">
        <f t="shared" si="49"/>
        <v>0</v>
      </c>
      <c r="AA25" s="142">
        <f t="shared" si="49"/>
        <v>0</v>
      </c>
      <c r="AB25" s="142">
        <f t="shared" si="49"/>
        <v>0</v>
      </c>
      <c r="AC25" s="142">
        <f t="shared" si="49"/>
        <v>57100</v>
      </c>
      <c r="AD25" s="142">
        <f t="shared" si="49"/>
        <v>0</v>
      </c>
      <c r="AE25" s="142">
        <f t="shared" si="49"/>
        <v>988889.3</v>
      </c>
      <c r="AF25" s="142">
        <f t="shared" si="49"/>
        <v>488812.7</v>
      </c>
      <c r="AG25" s="142">
        <f t="shared" si="49"/>
        <v>26699.200000000001</v>
      </c>
      <c r="AH25" s="142">
        <f t="shared" si="49"/>
        <v>6536.6</v>
      </c>
      <c r="AI25" s="142">
        <f t="shared" si="49"/>
        <v>0</v>
      </c>
      <c r="AJ25" s="142">
        <f t="shared" si="49"/>
        <v>40865.399999999994</v>
      </c>
      <c r="AK25" s="142">
        <f t="shared" si="49"/>
        <v>2680</v>
      </c>
      <c r="AL25" s="142">
        <f t="shared" si="49"/>
        <v>0</v>
      </c>
      <c r="AM25" s="142">
        <f t="shared" si="49"/>
        <v>5214</v>
      </c>
      <c r="AN25" s="142">
        <f t="shared" si="49"/>
        <v>0</v>
      </c>
      <c r="AO25" s="142">
        <f t="shared" si="49"/>
        <v>0</v>
      </c>
      <c r="AP25" s="142">
        <f t="shared" si="49"/>
        <v>1575</v>
      </c>
      <c r="AQ25" s="142">
        <f t="shared" si="49"/>
        <v>349603</v>
      </c>
      <c r="AR25" s="142">
        <f t="shared" si="49"/>
        <v>9549.7999999999993</v>
      </c>
      <c r="AS25" s="142">
        <f t="shared" si="49"/>
        <v>0</v>
      </c>
      <c r="AT25" s="142">
        <f t="shared" si="49"/>
        <v>1200188.8</v>
      </c>
      <c r="AU25" s="142">
        <f t="shared" si="49"/>
        <v>259593.00999999998</v>
      </c>
      <c r="AV25" s="142">
        <f t="shared" si="49"/>
        <v>0</v>
      </c>
      <c r="AW25" s="114"/>
      <c r="AX25" s="142">
        <f t="shared" ref="AX25:BJ25" si="50">SUM(AX26:AX34)</f>
        <v>0</v>
      </c>
      <c r="AY25" s="142">
        <f t="shared" si="50"/>
        <v>5956</v>
      </c>
      <c r="AZ25" s="142">
        <f t="shared" si="50"/>
        <v>0</v>
      </c>
      <c r="BA25" s="142">
        <f t="shared" si="50"/>
        <v>539623.1</v>
      </c>
      <c r="BB25" s="142">
        <f t="shared" si="50"/>
        <v>25550.799999999999</v>
      </c>
      <c r="BC25" s="142">
        <f t="shared" si="50"/>
        <v>2609</v>
      </c>
      <c r="BD25" s="142">
        <f t="shared" si="50"/>
        <v>67152</v>
      </c>
      <c r="BE25" s="142">
        <f t="shared" si="50"/>
        <v>2607</v>
      </c>
      <c r="BF25" s="142">
        <f t="shared" si="50"/>
        <v>0</v>
      </c>
      <c r="BG25" s="142">
        <f t="shared" si="50"/>
        <v>0</v>
      </c>
      <c r="BH25" s="142">
        <f t="shared" si="50"/>
        <v>0</v>
      </c>
      <c r="BI25" s="142">
        <f t="shared" si="50"/>
        <v>0</v>
      </c>
      <c r="BJ25" s="142">
        <f t="shared" si="50"/>
        <v>0</v>
      </c>
      <c r="BK25" s="142" t="s">
        <v>927</v>
      </c>
      <c r="BL25" s="97">
        <f t="shared" ref="BL25:CL25" si="51">SUM(BL26:BL34)</f>
        <v>0</v>
      </c>
      <c r="BM25" s="97">
        <f t="shared" si="51"/>
        <v>0</v>
      </c>
      <c r="BN25" s="97">
        <f t="shared" si="51"/>
        <v>0</v>
      </c>
      <c r="BO25" s="97">
        <f t="shared" si="51"/>
        <v>0</v>
      </c>
      <c r="BP25" s="97">
        <f t="shared" si="51"/>
        <v>0</v>
      </c>
      <c r="BQ25" s="97">
        <f t="shared" si="51"/>
        <v>0</v>
      </c>
      <c r="BR25" s="97">
        <f t="shared" si="51"/>
        <v>0</v>
      </c>
      <c r="BS25" s="97">
        <f t="shared" si="51"/>
        <v>0</v>
      </c>
      <c r="BT25" s="97">
        <f t="shared" si="51"/>
        <v>0</v>
      </c>
      <c r="BU25" s="97">
        <f t="shared" si="51"/>
        <v>0</v>
      </c>
      <c r="BV25" s="97">
        <f t="shared" si="51"/>
        <v>7833</v>
      </c>
      <c r="BW25" s="97">
        <f t="shared" si="51"/>
        <v>0</v>
      </c>
      <c r="BX25" s="97">
        <f t="shared" si="51"/>
        <v>0</v>
      </c>
      <c r="BY25" s="97">
        <f t="shared" si="51"/>
        <v>99594.7</v>
      </c>
      <c r="BZ25" s="97">
        <f t="shared" si="51"/>
        <v>128991</v>
      </c>
      <c r="CA25" s="97">
        <f t="shared" si="51"/>
        <v>0</v>
      </c>
      <c r="CB25" s="97">
        <f t="shared" si="51"/>
        <v>0</v>
      </c>
      <c r="CC25" s="97">
        <f t="shared" si="51"/>
        <v>16</v>
      </c>
      <c r="CD25" s="97">
        <f t="shared" si="51"/>
        <v>172024.4</v>
      </c>
      <c r="CE25" s="97">
        <f t="shared" si="51"/>
        <v>29704.9</v>
      </c>
      <c r="CF25" s="97">
        <f t="shared" si="51"/>
        <v>0</v>
      </c>
      <c r="CG25" s="97">
        <f t="shared" si="51"/>
        <v>0</v>
      </c>
      <c r="CH25" s="97">
        <f t="shared" si="51"/>
        <v>10874</v>
      </c>
      <c r="CI25" s="97">
        <f t="shared" si="51"/>
        <v>0</v>
      </c>
      <c r="CJ25" s="97">
        <f t="shared" si="51"/>
        <v>0</v>
      </c>
      <c r="CK25" s="97">
        <f t="shared" si="51"/>
        <v>0</v>
      </c>
      <c r="CL25" s="97">
        <f t="shared" si="51"/>
        <v>0</v>
      </c>
      <c r="CM25" s="97">
        <f t="shared" ref="CM25:DP25" si="52">SUM(CM26:CM34)</f>
        <v>8491</v>
      </c>
      <c r="CN25" s="97">
        <f t="shared" si="52"/>
        <v>0</v>
      </c>
      <c r="CO25" s="97">
        <f t="shared" si="52"/>
        <v>8</v>
      </c>
      <c r="CP25" s="97">
        <f t="shared" si="52"/>
        <v>0</v>
      </c>
      <c r="CQ25" s="97">
        <f t="shared" si="52"/>
        <v>14598.8</v>
      </c>
      <c r="CR25" s="97">
        <f t="shared" si="52"/>
        <v>0</v>
      </c>
      <c r="CS25" s="97">
        <f t="shared" si="52"/>
        <v>62972.100000000006</v>
      </c>
      <c r="CT25" s="97">
        <f t="shared" si="52"/>
        <v>0</v>
      </c>
      <c r="CU25" s="97">
        <f t="shared" si="52"/>
        <v>0</v>
      </c>
      <c r="CV25" s="97">
        <f t="shared" si="52"/>
        <v>0</v>
      </c>
      <c r="CW25" s="97">
        <f t="shared" si="52"/>
        <v>5225.6000000000004</v>
      </c>
      <c r="CX25" s="97">
        <f t="shared" si="52"/>
        <v>17675</v>
      </c>
      <c r="CY25" s="97">
        <f t="shared" si="52"/>
        <v>0</v>
      </c>
      <c r="CZ25" s="97">
        <f t="shared" si="52"/>
        <v>0</v>
      </c>
      <c r="DA25" s="97">
        <f t="shared" si="52"/>
        <v>663</v>
      </c>
      <c r="DB25" s="97">
        <f t="shared" si="52"/>
        <v>0</v>
      </c>
      <c r="DC25" s="97">
        <f t="shared" si="52"/>
        <v>0</v>
      </c>
      <c r="DD25" s="97">
        <f t="shared" si="52"/>
        <v>0</v>
      </c>
      <c r="DE25" s="97">
        <f t="shared" si="52"/>
        <v>0</v>
      </c>
      <c r="DF25" s="97">
        <f t="shared" si="52"/>
        <v>0</v>
      </c>
      <c r="DG25" s="97">
        <f t="shared" si="52"/>
        <v>0</v>
      </c>
      <c r="DH25" s="97">
        <f t="shared" si="52"/>
        <v>0</v>
      </c>
      <c r="DI25" s="97">
        <f t="shared" si="52"/>
        <v>0</v>
      </c>
      <c r="DJ25" s="97">
        <f t="shared" si="52"/>
        <v>0</v>
      </c>
      <c r="DK25" s="97">
        <f t="shared" si="52"/>
        <v>0</v>
      </c>
      <c r="DL25" s="97">
        <f t="shared" si="52"/>
        <v>218699.80000000002</v>
      </c>
      <c r="DM25" s="97">
        <f t="shared" si="52"/>
        <v>294394.7</v>
      </c>
      <c r="DN25" s="97">
        <f t="shared" si="52"/>
        <v>392613.8</v>
      </c>
      <c r="DO25" s="97">
        <f t="shared" si="52"/>
        <v>230274.7</v>
      </c>
      <c r="DP25" s="97">
        <f t="shared" si="52"/>
        <v>8915</v>
      </c>
      <c r="DQ25" s="99"/>
      <c r="DR25" s="97">
        <f>SUM(DR26:DR34)</f>
        <v>2618.6</v>
      </c>
      <c r="DS25" s="99"/>
      <c r="DT25" s="99"/>
      <c r="DU25" s="97">
        <f>SUM(DU26:DU34)</f>
        <v>0</v>
      </c>
      <c r="DV25" s="97">
        <f>SUM(DV26:DV34)</f>
        <v>23010.2</v>
      </c>
      <c r="DW25" s="97">
        <f>SUM(DW26:DW34)</f>
        <v>24697</v>
      </c>
      <c r="DX25" s="97">
        <f>SUM(DX26:DX34)</f>
        <v>0</v>
      </c>
      <c r="DY25" s="97">
        <f>SUM(DY26:DY34)</f>
        <v>0</v>
      </c>
      <c r="DZ25" s="99"/>
      <c r="EA25" s="99"/>
      <c r="EB25" s="97">
        <f t="shared" ref="EB25:EV25" si="53">SUM(EB26:EB34)</f>
        <v>0</v>
      </c>
      <c r="EC25" s="97">
        <f t="shared" si="53"/>
        <v>0</v>
      </c>
      <c r="ED25" s="97">
        <f t="shared" si="53"/>
        <v>0</v>
      </c>
      <c r="EE25" s="97">
        <f t="shared" si="53"/>
        <v>0</v>
      </c>
      <c r="EF25" s="97">
        <f t="shared" si="53"/>
        <v>0</v>
      </c>
      <c r="EG25" s="97">
        <f t="shared" si="53"/>
        <v>0</v>
      </c>
      <c r="EH25" s="97">
        <f t="shared" si="53"/>
        <v>0</v>
      </c>
      <c r="EI25" s="97">
        <f t="shared" si="53"/>
        <v>731651.4</v>
      </c>
      <c r="EJ25" s="97">
        <f t="shared" si="53"/>
        <v>0</v>
      </c>
      <c r="EK25" s="97">
        <f>SUM(EK26:EK34)</f>
        <v>0</v>
      </c>
      <c r="EL25" s="97">
        <f t="shared" si="53"/>
        <v>3071</v>
      </c>
      <c r="EM25" s="97">
        <f t="shared" si="53"/>
        <v>0</v>
      </c>
      <c r="EN25" s="97">
        <f t="shared" si="53"/>
        <v>0</v>
      </c>
      <c r="EO25" s="97">
        <f t="shared" si="53"/>
        <v>0</v>
      </c>
      <c r="EP25" s="97">
        <f t="shared" si="53"/>
        <v>0</v>
      </c>
      <c r="EQ25" s="97">
        <f t="shared" si="53"/>
        <v>12032.7</v>
      </c>
      <c r="ER25" s="97">
        <f t="shared" si="53"/>
        <v>10370</v>
      </c>
      <c r="ES25" s="97">
        <f t="shared" si="53"/>
        <v>0</v>
      </c>
      <c r="ET25" s="97">
        <f t="shared" si="53"/>
        <v>0</v>
      </c>
      <c r="EU25" s="97">
        <f t="shared" si="53"/>
        <v>0</v>
      </c>
      <c r="EV25" s="97">
        <f t="shared" si="53"/>
        <v>0</v>
      </c>
      <c r="EW25" s="97">
        <f t="shared" ref="EW25:OV25" si="54">SUM(EW26:EW34)</f>
        <v>0</v>
      </c>
      <c r="EX25" s="97">
        <f t="shared" si="54"/>
        <v>0</v>
      </c>
      <c r="EY25" s="97">
        <f t="shared" si="54"/>
        <v>0</v>
      </c>
      <c r="EZ25" s="97">
        <f>SUM(EZ26:EZ34)</f>
        <v>0</v>
      </c>
      <c r="FA25" s="97">
        <f>SUM(FA26:FA34)</f>
        <v>0</v>
      </c>
      <c r="FB25" s="97">
        <f>SUM(FB26:FB34)</f>
        <v>0</v>
      </c>
      <c r="FC25" s="97">
        <f>SUM(FC26:FC34)</f>
        <v>0</v>
      </c>
      <c r="FD25" s="97">
        <f t="shared" si="54"/>
        <v>0</v>
      </c>
      <c r="FE25" s="97">
        <f t="shared" si="54"/>
        <v>2754.1</v>
      </c>
      <c r="FF25" s="97">
        <f t="shared" ref="FF25:GE25" si="55">SUM(FF26:FF34)</f>
        <v>0</v>
      </c>
      <c r="FG25" s="97">
        <f t="shared" si="55"/>
        <v>16420.2</v>
      </c>
      <c r="FH25" s="97">
        <f t="shared" si="55"/>
        <v>0</v>
      </c>
      <c r="FI25" s="97">
        <f t="shared" si="55"/>
        <v>0</v>
      </c>
      <c r="FJ25" s="97">
        <f t="shared" si="55"/>
        <v>0</v>
      </c>
      <c r="FK25" s="97">
        <f t="shared" si="55"/>
        <v>0</v>
      </c>
      <c r="FL25" s="97">
        <f t="shared" si="55"/>
        <v>0</v>
      </c>
      <c r="FM25" s="97">
        <f t="shared" si="55"/>
        <v>0</v>
      </c>
      <c r="FN25" s="97">
        <f t="shared" si="55"/>
        <v>0</v>
      </c>
      <c r="FO25" s="97">
        <f t="shared" si="55"/>
        <v>0</v>
      </c>
      <c r="FP25" s="97">
        <f t="shared" si="55"/>
        <v>0</v>
      </c>
      <c r="FQ25" s="97">
        <f t="shared" si="55"/>
        <v>0</v>
      </c>
      <c r="FR25" s="97">
        <f t="shared" si="55"/>
        <v>0</v>
      </c>
      <c r="FS25" s="97">
        <f t="shared" si="55"/>
        <v>0</v>
      </c>
      <c r="FT25" s="97">
        <f t="shared" si="55"/>
        <v>27024.300000000003</v>
      </c>
      <c r="FU25" s="97">
        <f t="shared" si="55"/>
        <v>0</v>
      </c>
      <c r="FV25" s="97">
        <f t="shared" si="55"/>
        <v>57965.600000000006</v>
      </c>
      <c r="FW25" s="97">
        <f t="shared" si="55"/>
        <v>0</v>
      </c>
      <c r="FX25" s="97">
        <f t="shared" si="55"/>
        <v>0</v>
      </c>
      <c r="FY25" s="97">
        <f t="shared" si="55"/>
        <v>0</v>
      </c>
      <c r="FZ25" s="97">
        <f t="shared" si="55"/>
        <v>0</v>
      </c>
      <c r="GA25" s="97">
        <f t="shared" si="55"/>
        <v>0</v>
      </c>
      <c r="GB25" s="97">
        <f t="shared" si="55"/>
        <v>44027</v>
      </c>
      <c r="GC25" s="97">
        <f t="shared" si="55"/>
        <v>0</v>
      </c>
      <c r="GD25" s="97">
        <f t="shared" si="55"/>
        <v>38009</v>
      </c>
      <c r="GE25" s="97">
        <f t="shared" si="55"/>
        <v>0</v>
      </c>
      <c r="GF25" s="99"/>
      <c r="GG25" s="99"/>
      <c r="GH25" s="97">
        <f t="shared" ref="GH25:GR25" si="56">SUM(GH26:GH34)</f>
        <v>0</v>
      </c>
      <c r="GI25" s="97">
        <f t="shared" si="56"/>
        <v>0</v>
      </c>
      <c r="GJ25" s="97">
        <f t="shared" si="56"/>
        <v>919</v>
      </c>
      <c r="GK25" s="97">
        <f t="shared" si="56"/>
        <v>0</v>
      </c>
      <c r="GL25" s="97">
        <f t="shared" si="56"/>
        <v>0</v>
      </c>
      <c r="GM25" s="97">
        <f t="shared" si="56"/>
        <v>0</v>
      </c>
      <c r="GN25" s="97">
        <f t="shared" si="56"/>
        <v>0</v>
      </c>
      <c r="GO25" s="97">
        <f t="shared" si="56"/>
        <v>0</v>
      </c>
      <c r="GP25" s="97">
        <f t="shared" si="56"/>
        <v>0</v>
      </c>
      <c r="GQ25" s="97">
        <f t="shared" si="56"/>
        <v>0</v>
      </c>
      <c r="GR25" s="97">
        <f t="shared" si="56"/>
        <v>0</v>
      </c>
      <c r="GS25" s="97">
        <f t="shared" si="54"/>
        <v>0</v>
      </c>
      <c r="GT25" s="97">
        <f t="shared" ref="GT25:HB25" si="57">SUM(GT26:GT34)</f>
        <v>0</v>
      </c>
      <c r="GU25" s="97">
        <f t="shared" si="57"/>
        <v>0</v>
      </c>
      <c r="GV25" s="97">
        <f t="shared" si="57"/>
        <v>0</v>
      </c>
      <c r="GW25" s="97">
        <f t="shared" si="57"/>
        <v>0</v>
      </c>
      <c r="GX25" s="97">
        <f t="shared" si="57"/>
        <v>0</v>
      </c>
      <c r="GY25" s="97">
        <f t="shared" si="57"/>
        <v>0</v>
      </c>
      <c r="GZ25" s="97">
        <f t="shared" si="57"/>
        <v>0</v>
      </c>
      <c r="HA25" s="97">
        <f t="shared" si="57"/>
        <v>0</v>
      </c>
      <c r="HB25" s="97">
        <f t="shared" si="57"/>
        <v>0</v>
      </c>
      <c r="HC25" s="99"/>
      <c r="HD25" s="97">
        <f>SUM(HD26:HD34)</f>
        <v>0</v>
      </c>
      <c r="HE25" s="97">
        <f>SUM(HE26:HE34)</f>
        <v>36470.6</v>
      </c>
      <c r="HF25" s="97">
        <f>SUM(HF26:HF34)</f>
        <v>0</v>
      </c>
      <c r="HG25" s="97">
        <f>SUM(HG26:HG34)</f>
        <v>0</v>
      </c>
      <c r="HH25" s="97">
        <f t="shared" si="54"/>
        <v>0</v>
      </c>
      <c r="HI25" s="97">
        <f t="shared" ref="HI25:HN25" si="58">SUM(HI26:HI34)</f>
        <v>13154</v>
      </c>
      <c r="HJ25" s="97">
        <f t="shared" si="58"/>
        <v>0</v>
      </c>
      <c r="HK25" s="97">
        <f t="shared" si="58"/>
        <v>0</v>
      </c>
      <c r="HL25" s="97">
        <f t="shared" si="58"/>
        <v>0</v>
      </c>
      <c r="HM25" s="97">
        <f t="shared" si="58"/>
        <v>0</v>
      </c>
      <c r="HN25" s="97">
        <f t="shared" si="58"/>
        <v>0</v>
      </c>
      <c r="HO25" s="99"/>
      <c r="HP25" s="97">
        <f t="shared" ref="HP25:JC25" si="59">SUM(HP26:HP34)</f>
        <v>0</v>
      </c>
      <c r="HQ25" s="97">
        <f t="shared" si="59"/>
        <v>0</v>
      </c>
      <c r="HR25" s="97">
        <f t="shared" si="59"/>
        <v>0</v>
      </c>
      <c r="HS25" s="97">
        <f t="shared" si="59"/>
        <v>6657.6</v>
      </c>
      <c r="HT25" s="97">
        <f t="shared" si="59"/>
        <v>0</v>
      </c>
      <c r="HU25" s="97">
        <f t="shared" si="59"/>
        <v>0</v>
      </c>
      <c r="HV25" s="97">
        <f t="shared" si="59"/>
        <v>0</v>
      </c>
      <c r="HW25" s="97">
        <f t="shared" si="59"/>
        <v>0</v>
      </c>
      <c r="HX25" s="97">
        <f t="shared" si="59"/>
        <v>0</v>
      </c>
      <c r="HY25" s="97">
        <f t="shared" si="59"/>
        <v>0</v>
      </c>
      <c r="HZ25" s="97">
        <f t="shared" si="59"/>
        <v>0</v>
      </c>
      <c r="IA25" s="97">
        <f t="shared" si="59"/>
        <v>5525</v>
      </c>
      <c r="IB25" s="97">
        <f t="shared" si="59"/>
        <v>0</v>
      </c>
      <c r="IC25" s="97">
        <f t="shared" si="59"/>
        <v>0</v>
      </c>
      <c r="ID25" s="97">
        <f t="shared" si="59"/>
        <v>0</v>
      </c>
      <c r="IE25" s="97">
        <f t="shared" si="59"/>
        <v>0</v>
      </c>
      <c r="IF25" s="97">
        <f t="shared" si="59"/>
        <v>0</v>
      </c>
      <c r="IG25" s="97">
        <f t="shared" si="59"/>
        <v>0</v>
      </c>
      <c r="IH25" s="97">
        <f t="shared" si="59"/>
        <v>0</v>
      </c>
      <c r="II25" s="97">
        <f t="shared" si="59"/>
        <v>0</v>
      </c>
      <c r="IJ25" s="97">
        <f t="shared" si="59"/>
        <v>0</v>
      </c>
      <c r="IK25" s="97">
        <f t="shared" si="59"/>
        <v>0</v>
      </c>
      <c r="IL25" s="97">
        <f t="shared" si="59"/>
        <v>0</v>
      </c>
      <c r="IM25" s="97">
        <f t="shared" si="59"/>
        <v>0</v>
      </c>
      <c r="IN25" s="97">
        <f t="shared" si="59"/>
        <v>0</v>
      </c>
      <c r="IO25" s="97">
        <f t="shared" si="59"/>
        <v>0</v>
      </c>
      <c r="IP25" s="97">
        <f t="shared" si="59"/>
        <v>0</v>
      </c>
      <c r="IQ25" s="97">
        <f t="shared" si="59"/>
        <v>0</v>
      </c>
      <c r="IR25" s="97">
        <f t="shared" si="59"/>
        <v>924362.4</v>
      </c>
      <c r="IS25" s="97">
        <f t="shared" si="59"/>
        <v>0</v>
      </c>
      <c r="IT25" s="97">
        <f t="shared" si="59"/>
        <v>0</v>
      </c>
      <c r="IU25" s="97">
        <f t="shared" si="59"/>
        <v>0</v>
      </c>
      <c r="IV25" s="97">
        <f t="shared" si="59"/>
        <v>30089.200000000001</v>
      </c>
      <c r="IW25" s="97">
        <f t="shared" si="59"/>
        <v>0</v>
      </c>
      <c r="IX25" s="97">
        <f t="shared" si="59"/>
        <v>11024.9</v>
      </c>
      <c r="IY25" s="97">
        <f t="shared" si="59"/>
        <v>0</v>
      </c>
      <c r="IZ25" s="97">
        <f t="shared" si="59"/>
        <v>0</v>
      </c>
      <c r="JA25" s="97">
        <f t="shared" si="59"/>
        <v>0</v>
      </c>
      <c r="JB25" s="97">
        <f t="shared" si="59"/>
        <v>6498.4</v>
      </c>
      <c r="JC25" s="97">
        <f t="shared" si="59"/>
        <v>20628.8</v>
      </c>
      <c r="JD25" s="99"/>
      <c r="JE25" s="99"/>
      <c r="JF25" s="99"/>
      <c r="JG25" s="99"/>
      <c r="JH25" s="99"/>
      <c r="JI25" s="97">
        <f t="shared" ref="JI25:KE25" si="60">SUM(JI26:JI34)</f>
        <v>6588</v>
      </c>
      <c r="JJ25" s="97">
        <f t="shared" si="60"/>
        <v>0</v>
      </c>
      <c r="JK25" s="97">
        <f t="shared" si="60"/>
        <v>22118</v>
      </c>
      <c r="JL25" s="97">
        <f t="shared" si="60"/>
        <v>1321</v>
      </c>
      <c r="JM25" s="97">
        <f t="shared" si="60"/>
        <v>19964.2</v>
      </c>
      <c r="JN25" s="97">
        <f t="shared" si="60"/>
        <v>0</v>
      </c>
      <c r="JO25" s="97">
        <f t="shared" si="60"/>
        <v>0</v>
      </c>
      <c r="JP25" s="97">
        <f t="shared" si="60"/>
        <v>0</v>
      </c>
      <c r="JQ25" s="97">
        <f t="shared" si="60"/>
        <v>0</v>
      </c>
      <c r="JR25" s="97">
        <f t="shared" si="60"/>
        <v>0</v>
      </c>
      <c r="JS25" s="97">
        <f t="shared" si="60"/>
        <v>0</v>
      </c>
      <c r="JT25" s="97">
        <f t="shared" si="60"/>
        <v>0</v>
      </c>
      <c r="JU25" s="97">
        <f t="shared" si="60"/>
        <v>0</v>
      </c>
      <c r="JV25" s="97">
        <f t="shared" si="60"/>
        <v>0</v>
      </c>
      <c r="JW25" s="97">
        <f t="shared" si="60"/>
        <v>10583</v>
      </c>
      <c r="JX25" s="97">
        <f t="shared" si="60"/>
        <v>0</v>
      </c>
      <c r="JY25" s="97">
        <f t="shared" si="60"/>
        <v>0</v>
      </c>
      <c r="JZ25" s="97">
        <f t="shared" si="60"/>
        <v>85276.6</v>
      </c>
      <c r="KA25" s="97">
        <f t="shared" si="60"/>
        <v>0</v>
      </c>
      <c r="KB25" s="97">
        <f t="shared" si="60"/>
        <v>0</v>
      </c>
      <c r="KC25" s="97">
        <f t="shared" si="60"/>
        <v>0</v>
      </c>
      <c r="KD25" s="97">
        <f t="shared" si="60"/>
        <v>0</v>
      </c>
      <c r="KE25" s="97">
        <f t="shared" si="60"/>
        <v>0</v>
      </c>
      <c r="KF25" s="99"/>
      <c r="KG25" s="97">
        <f t="shared" ref="KG25:OT25" si="61">SUM(KG26:KG34)</f>
        <v>0</v>
      </c>
      <c r="KH25" s="97">
        <f t="shared" si="61"/>
        <v>0</v>
      </c>
      <c r="KI25" s="97">
        <f t="shared" si="61"/>
        <v>0</v>
      </c>
      <c r="KJ25" s="97">
        <f t="shared" si="61"/>
        <v>1886902.2</v>
      </c>
      <c r="KK25" s="97">
        <f t="shared" si="61"/>
        <v>0</v>
      </c>
      <c r="KL25" s="97">
        <f t="shared" si="61"/>
        <v>0</v>
      </c>
      <c r="KM25" s="97">
        <f t="shared" si="61"/>
        <v>0</v>
      </c>
      <c r="KN25" s="97">
        <f t="shared" si="61"/>
        <v>0</v>
      </c>
      <c r="KO25" s="97">
        <f t="shared" si="61"/>
        <v>34771.199999999997</v>
      </c>
      <c r="KP25" s="97">
        <f t="shared" si="61"/>
        <v>0</v>
      </c>
      <c r="KQ25" s="97">
        <f t="shared" si="61"/>
        <v>0</v>
      </c>
      <c r="KR25" s="97">
        <f t="shared" si="61"/>
        <v>0</v>
      </c>
      <c r="KS25" s="97">
        <f t="shared" si="61"/>
        <v>0</v>
      </c>
      <c r="KT25" s="97">
        <f t="shared" si="61"/>
        <v>0</v>
      </c>
      <c r="KU25" s="97">
        <f t="shared" si="61"/>
        <v>0</v>
      </c>
      <c r="KV25" s="97">
        <f t="shared" si="61"/>
        <v>0</v>
      </c>
      <c r="KW25" s="97">
        <f t="shared" si="61"/>
        <v>0</v>
      </c>
      <c r="KX25" s="97">
        <f t="shared" si="61"/>
        <v>557021</v>
      </c>
      <c r="KY25" s="97">
        <f t="shared" si="61"/>
        <v>0</v>
      </c>
      <c r="KZ25" s="97">
        <f t="shared" si="61"/>
        <v>0</v>
      </c>
      <c r="LA25" s="97">
        <f t="shared" si="61"/>
        <v>0</v>
      </c>
      <c r="LB25" s="97">
        <f t="shared" si="61"/>
        <v>0</v>
      </c>
      <c r="LC25" s="97">
        <f>SUM(LC26:LC34)</f>
        <v>0</v>
      </c>
      <c r="LD25" s="97">
        <f>SUM(LD26:LD34)</f>
        <v>0</v>
      </c>
      <c r="LE25" s="97">
        <f>SUM(LE26:LE34)</f>
        <v>0</v>
      </c>
      <c r="LF25" s="99"/>
      <c r="LG25" s="97">
        <f>SUM(LG26:LG34)</f>
        <v>0</v>
      </c>
      <c r="LH25" s="97">
        <f>SUM(LH26:LH34)</f>
        <v>0</v>
      </c>
      <c r="LI25" s="97">
        <f>SUM(LI26:LI34)</f>
        <v>0</v>
      </c>
      <c r="LJ25" s="97">
        <f>SUM(LJ26:LJ34)</f>
        <v>0</v>
      </c>
      <c r="LK25" s="97">
        <f t="shared" ref="LK25:LQ25" si="62">SUM(LK26:LK34)</f>
        <v>0</v>
      </c>
      <c r="LL25" s="97">
        <f t="shared" si="62"/>
        <v>0</v>
      </c>
      <c r="LM25" s="97">
        <f>SUM(LM26:LM34)</f>
        <v>0</v>
      </c>
      <c r="LN25" s="97">
        <f>SUM(LN26:LN34)</f>
        <v>0</v>
      </c>
      <c r="LO25" s="97">
        <f t="shared" si="62"/>
        <v>0</v>
      </c>
      <c r="LP25" s="97">
        <f t="shared" si="62"/>
        <v>16655.5</v>
      </c>
      <c r="LQ25" s="97">
        <f t="shared" si="62"/>
        <v>0</v>
      </c>
      <c r="LR25" s="99"/>
      <c r="LS25" s="99"/>
      <c r="LT25" s="97">
        <f t="shared" ref="LT25:MY25" si="63">SUM(LT26:LT34)</f>
        <v>497798</v>
      </c>
      <c r="LU25" s="97">
        <f t="shared" si="63"/>
        <v>0</v>
      </c>
      <c r="LV25" s="97">
        <f t="shared" si="63"/>
        <v>4429</v>
      </c>
      <c r="LW25" s="97">
        <f t="shared" si="63"/>
        <v>0</v>
      </c>
      <c r="LX25" s="97">
        <f t="shared" si="63"/>
        <v>0</v>
      </c>
      <c r="LY25" s="97">
        <f t="shared" si="63"/>
        <v>0</v>
      </c>
      <c r="LZ25" s="97">
        <f t="shared" si="63"/>
        <v>0</v>
      </c>
      <c r="MA25" s="97">
        <f t="shared" si="63"/>
        <v>4099.6000000000004</v>
      </c>
      <c r="MB25" s="97">
        <f t="shared" si="63"/>
        <v>0</v>
      </c>
      <c r="MC25" s="97">
        <f t="shared" si="63"/>
        <v>0</v>
      </c>
      <c r="MD25" s="97">
        <f t="shared" si="63"/>
        <v>0</v>
      </c>
      <c r="ME25" s="97">
        <f t="shared" si="63"/>
        <v>0</v>
      </c>
      <c r="MF25" s="97">
        <f t="shared" si="63"/>
        <v>45308</v>
      </c>
      <c r="MG25" s="97">
        <f t="shared" si="63"/>
        <v>0</v>
      </c>
      <c r="MH25" s="97">
        <f t="shared" si="63"/>
        <v>457</v>
      </c>
      <c r="MI25" s="97">
        <f t="shared" si="63"/>
        <v>0</v>
      </c>
      <c r="MJ25" s="97">
        <f t="shared" si="63"/>
        <v>0</v>
      </c>
      <c r="MK25" s="97">
        <f t="shared" si="63"/>
        <v>0</v>
      </c>
      <c r="ML25" s="97">
        <f t="shared" si="63"/>
        <v>51761.599999999999</v>
      </c>
      <c r="MM25" s="97">
        <f t="shared" si="63"/>
        <v>0</v>
      </c>
      <c r="MN25" s="97">
        <f t="shared" si="63"/>
        <v>11139.4</v>
      </c>
      <c r="MO25" s="97">
        <f t="shared" si="63"/>
        <v>0</v>
      </c>
      <c r="MP25" s="97">
        <f t="shared" si="63"/>
        <v>0</v>
      </c>
      <c r="MQ25" s="97">
        <f t="shared" si="63"/>
        <v>44772.4</v>
      </c>
      <c r="MR25" s="97">
        <f t="shared" si="63"/>
        <v>0</v>
      </c>
      <c r="MS25" s="97">
        <f t="shared" si="63"/>
        <v>0</v>
      </c>
      <c r="MT25" s="97">
        <f t="shared" si="63"/>
        <v>0</v>
      </c>
      <c r="MU25" s="97">
        <f t="shared" si="63"/>
        <v>0</v>
      </c>
      <c r="MV25" s="97">
        <f t="shared" si="63"/>
        <v>0</v>
      </c>
      <c r="MW25" s="97">
        <f t="shared" si="63"/>
        <v>9165.9</v>
      </c>
      <c r="MX25" s="97">
        <f t="shared" si="63"/>
        <v>0</v>
      </c>
      <c r="MY25" s="97">
        <f t="shared" si="63"/>
        <v>0</v>
      </c>
      <c r="MZ25" s="97">
        <f t="shared" ref="MZ25:OB25" si="64">SUM(MZ26:MZ34)</f>
        <v>0</v>
      </c>
      <c r="NA25" s="97">
        <f t="shared" si="64"/>
        <v>0</v>
      </c>
      <c r="NB25" s="97">
        <f t="shared" si="64"/>
        <v>0</v>
      </c>
      <c r="NC25" s="97">
        <f t="shared" si="64"/>
        <v>0</v>
      </c>
      <c r="ND25" s="97">
        <f t="shared" si="64"/>
        <v>0</v>
      </c>
      <c r="NE25" s="97">
        <f t="shared" si="64"/>
        <v>0</v>
      </c>
      <c r="NF25" s="97">
        <f t="shared" si="64"/>
        <v>2632</v>
      </c>
      <c r="NG25" s="97">
        <f t="shared" si="64"/>
        <v>0</v>
      </c>
      <c r="NH25" s="97">
        <f t="shared" si="64"/>
        <v>0</v>
      </c>
      <c r="NI25" s="97">
        <f t="shared" si="64"/>
        <v>0</v>
      </c>
      <c r="NJ25" s="97">
        <f t="shared" si="64"/>
        <v>0</v>
      </c>
      <c r="NK25" s="97">
        <f t="shared" si="64"/>
        <v>0</v>
      </c>
      <c r="NL25" s="97">
        <f t="shared" si="64"/>
        <v>0</v>
      </c>
      <c r="NM25" s="97">
        <f t="shared" si="64"/>
        <v>0</v>
      </c>
      <c r="NN25" s="97">
        <f t="shared" si="64"/>
        <v>0</v>
      </c>
      <c r="NO25" s="97">
        <f t="shared" si="64"/>
        <v>0</v>
      </c>
      <c r="NP25" s="97">
        <f t="shared" si="64"/>
        <v>0</v>
      </c>
      <c r="NQ25" s="97">
        <f t="shared" si="64"/>
        <v>0</v>
      </c>
      <c r="NR25" s="97">
        <f t="shared" si="64"/>
        <v>0</v>
      </c>
      <c r="NS25" s="97">
        <f t="shared" si="64"/>
        <v>0</v>
      </c>
      <c r="NT25" s="97">
        <f t="shared" si="64"/>
        <v>0</v>
      </c>
      <c r="NU25" s="97">
        <f t="shared" si="64"/>
        <v>0</v>
      </c>
      <c r="NV25" s="97">
        <f t="shared" si="64"/>
        <v>0</v>
      </c>
      <c r="NW25" s="97">
        <f t="shared" si="64"/>
        <v>0</v>
      </c>
      <c r="NX25" s="97">
        <f t="shared" si="64"/>
        <v>8791.2000000000007</v>
      </c>
      <c r="NY25" s="97">
        <f t="shared" si="64"/>
        <v>0</v>
      </c>
      <c r="NZ25" s="97">
        <f t="shared" si="64"/>
        <v>0</v>
      </c>
      <c r="OA25" s="97">
        <f t="shared" si="64"/>
        <v>655.8</v>
      </c>
      <c r="OB25" s="97">
        <f t="shared" si="64"/>
        <v>0</v>
      </c>
      <c r="OC25" s="97">
        <f t="shared" ref="OC25" si="65">SUM(OC26:OC34)</f>
        <v>4312</v>
      </c>
      <c r="OD25" s="97">
        <f>SUM(OD26:OD34)</f>
        <v>0</v>
      </c>
      <c r="OE25" s="97">
        <f>SUM(OE26:OE34)</f>
        <v>0</v>
      </c>
      <c r="OF25" s="97">
        <f>SUM(OF26:OF34)</f>
        <v>1376.2</v>
      </c>
      <c r="OG25" s="97">
        <f>SUM(OG26:OG34)</f>
        <v>0</v>
      </c>
      <c r="OH25" s="97">
        <f t="shared" si="61"/>
        <v>0</v>
      </c>
      <c r="OI25" s="97">
        <f t="shared" si="61"/>
        <v>0</v>
      </c>
      <c r="OJ25" s="97">
        <f>SUM(OJ26:OJ34)</f>
        <v>5921</v>
      </c>
      <c r="OK25" s="97">
        <f>SUM(OK26:OK34)</f>
        <v>0</v>
      </c>
      <c r="OL25" s="97">
        <f t="shared" si="61"/>
        <v>26789</v>
      </c>
      <c r="OM25" s="97">
        <f t="shared" si="61"/>
        <v>2617</v>
      </c>
      <c r="ON25" s="97">
        <f>SUM(ON26:ON34)</f>
        <v>0</v>
      </c>
      <c r="OO25" s="97">
        <f t="shared" si="61"/>
        <v>2598.3000000000002</v>
      </c>
      <c r="OP25" s="97">
        <f t="shared" si="61"/>
        <v>0</v>
      </c>
      <c r="OQ25" s="97">
        <f t="shared" si="61"/>
        <v>0</v>
      </c>
      <c r="OR25" s="97">
        <f t="shared" si="61"/>
        <v>0</v>
      </c>
      <c r="OS25" s="97">
        <f t="shared" si="61"/>
        <v>0</v>
      </c>
      <c r="OT25" s="97">
        <f t="shared" si="61"/>
        <v>2238.5</v>
      </c>
      <c r="OU25" s="97">
        <f t="shared" si="54"/>
        <v>0</v>
      </c>
      <c r="OV25" s="97">
        <f t="shared" si="54"/>
        <v>0</v>
      </c>
      <c r="OW25" s="97">
        <f t="shared" ref="OW25:PH25" si="66">SUM(OW26:OW34)</f>
        <v>0</v>
      </c>
      <c r="OX25" s="97">
        <f t="shared" si="66"/>
        <v>0</v>
      </c>
      <c r="OY25" s="97">
        <f t="shared" si="66"/>
        <v>2051</v>
      </c>
      <c r="OZ25" s="97">
        <f t="shared" si="66"/>
        <v>137659.6</v>
      </c>
      <c r="PA25" s="97">
        <f t="shared" si="66"/>
        <v>0</v>
      </c>
      <c r="PB25" s="97">
        <f>SUM(PB26:PB34)</f>
        <v>2422.3000000000002</v>
      </c>
      <c r="PC25" s="97">
        <f t="shared" si="66"/>
        <v>0</v>
      </c>
      <c r="PD25" s="97">
        <f>SUM(PD26:PD34)</f>
        <v>0</v>
      </c>
      <c r="PE25" s="97">
        <f t="shared" si="66"/>
        <v>0</v>
      </c>
      <c r="PF25" s="97">
        <f t="shared" si="66"/>
        <v>0</v>
      </c>
      <c r="PG25" s="97">
        <f t="shared" si="66"/>
        <v>115535.2</v>
      </c>
      <c r="PH25" s="97">
        <f t="shared" si="66"/>
        <v>0</v>
      </c>
      <c r="PI25" s="97">
        <f>SUM(PI26:PI34)</f>
        <v>3859.3</v>
      </c>
      <c r="PJ25" s="97">
        <f t="shared" ref="PJ25:QC25" si="67">SUM(PJ26:PJ34)</f>
        <v>0</v>
      </c>
      <c r="PK25" s="97">
        <f t="shared" si="67"/>
        <v>0</v>
      </c>
      <c r="PL25" s="97">
        <f t="shared" si="67"/>
        <v>0</v>
      </c>
      <c r="PM25" s="97">
        <f t="shared" si="67"/>
        <v>0</v>
      </c>
      <c r="PN25" s="97">
        <f t="shared" ref="PN25:PS25" si="68">SUM(PN26:PN34)</f>
        <v>0</v>
      </c>
      <c r="PO25" s="97">
        <f t="shared" si="68"/>
        <v>0</v>
      </c>
      <c r="PP25" s="97">
        <f t="shared" si="68"/>
        <v>0</v>
      </c>
      <c r="PQ25" s="97">
        <f t="shared" si="68"/>
        <v>0</v>
      </c>
      <c r="PR25" s="97">
        <f t="shared" si="68"/>
        <v>0</v>
      </c>
      <c r="PS25" s="97">
        <f t="shared" si="68"/>
        <v>1687.5</v>
      </c>
      <c r="PT25" s="97">
        <f t="shared" si="67"/>
        <v>0</v>
      </c>
      <c r="PU25" s="97">
        <f>SUM(PU26:PU34)</f>
        <v>0</v>
      </c>
      <c r="PV25" s="97">
        <f t="shared" si="67"/>
        <v>0</v>
      </c>
      <c r="PW25" s="97">
        <f>SUM(PW26:PW34)</f>
        <v>172057.60000000001</v>
      </c>
      <c r="PX25" s="97">
        <f>SUM(PX26:PX34)</f>
        <v>0</v>
      </c>
      <c r="PY25" s="97">
        <f>SUM(PY26:PY34)</f>
        <v>0</v>
      </c>
      <c r="PZ25" s="97">
        <f>SUM(PZ26:PZ34)</f>
        <v>0</v>
      </c>
      <c r="QA25" s="97">
        <f>SUM(QA26:QA34)</f>
        <v>0</v>
      </c>
      <c r="QB25" s="97">
        <f t="shared" si="67"/>
        <v>0</v>
      </c>
      <c r="QC25" s="97">
        <f t="shared" si="67"/>
        <v>0</v>
      </c>
      <c r="QD25" s="97">
        <f>SUM(QD26:QD34)</f>
        <v>7841</v>
      </c>
      <c r="QE25" s="97">
        <f t="shared" ref="QE25:QJ25" si="69">SUM(QE26:QE34)</f>
        <v>0</v>
      </c>
      <c r="QF25" s="97">
        <f t="shared" si="69"/>
        <v>30046</v>
      </c>
      <c r="QG25" s="97">
        <f t="shared" si="69"/>
        <v>0</v>
      </c>
      <c r="QH25" s="97">
        <f t="shared" si="69"/>
        <v>0</v>
      </c>
      <c r="QI25" s="97">
        <f t="shared" si="69"/>
        <v>85064.4</v>
      </c>
      <c r="QJ25" s="97">
        <f t="shared" si="69"/>
        <v>0</v>
      </c>
      <c r="QK25" s="97">
        <f>SUM(QK26:QK34)</f>
        <v>0</v>
      </c>
      <c r="QL25" s="97">
        <f t="shared" ref="QL25:QM25" si="70">SUM(QL26:QL34)</f>
        <v>0</v>
      </c>
      <c r="QM25" s="97">
        <f t="shared" si="70"/>
        <v>150</v>
      </c>
      <c r="QN25" s="97">
        <f>SUM(QN26:QN34)</f>
        <v>31532.1</v>
      </c>
      <c r="QO25" s="97">
        <f>SUM(QO26:QO34)</f>
        <v>0</v>
      </c>
      <c r="QP25" s="97">
        <f t="shared" ref="QP25" si="71">SUM(QP26:QP34)</f>
        <v>10212.699999999999</v>
      </c>
      <c r="QQ25" s="97">
        <f>SUM(QQ26:QQ34)</f>
        <v>0</v>
      </c>
      <c r="QR25" s="97">
        <f>SUM(QR26:QR34)</f>
        <v>0</v>
      </c>
      <c r="QS25" s="97">
        <f t="shared" ref="QS25:RM25" si="72">SUM(QS26:QS34)</f>
        <v>2383</v>
      </c>
      <c r="QT25" s="97">
        <f>SUM(QT26:QT34)</f>
        <v>0</v>
      </c>
      <c r="QU25" s="97">
        <f>SUM(QU26:QU34)</f>
        <v>9065.5</v>
      </c>
      <c r="QV25" s="97">
        <f t="shared" si="72"/>
        <v>0</v>
      </c>
      <c r="QW25" s="97">
        <f t="shared" si="72"/>
        <v>0</v>
      </c>
      <c r="QX25" s="97">
        <f t="shared" si="72"/>
        <v>0</v>
      </c>
      <c r="QY25" s="97">
        <f t="shared" si="72"/>
        <v>0</v>
      </c>
      <c r="QZ25" s="97">
        <f t="shared" si="72"/>
        <v>0</v>
      </c>
      <c r="RA25" s="97">
        <f t="shared" si="72"/>
        <v>0</v>
      </c>
      <c r="RB25" s="97">
        <f t="shared" si="72"/>
        <v>0</v>
      </c>
      <c r="RC25" s="97">
        <f t="shared" si="72"/>
        <v>0</v>
      </c>
      <c r="RD25" s="97">
        <f t="shared" si="72"/>
        <v>0</v>
      </c>
      <c r="RE25" s="97">
        <f>SUM(RE26:RE34)</f>
        <v>0</v>
      </c>
      <c r="RF25" s="97">
        <f t="shared" si="72"/>
        <v>0</v>
      </c>
      <c r="RG25" s="97">
        <f t="shared" si="72"/>
        <v>14786.8</v>
      </c>
      <c r="RH25" s="97">
        <f t="shared" si="72"/>
        <v>0</v>
      </c>
      <c r="RI25" s="97">
        <f t="shared" si="72"/>
        <v>0</v>
      </c>
      <c r="RJ25" s="97">
        <f>SUM(RJ26:RJ34)</f>
        <v>0</v>
      </c>
      <c r="RK25" s="97">
        <f t="shared" si="72"/>
        <v>0</v>
      </c>
      <c r="RL25" s="97">
        <f t="shared" si="72"/>
        <v>0</v>
      </c>
      <c r="RM25" s="97">
        <f t="shared" si="72"/>
        <v>0</v>
      </c>
      <c r="RN25" s="97">
        <f>SUM(RN26:RN34)</f>
        <v>25600.5</v>
      </c>
    </row>
    <row r="26" spans="1:482" s="60" customFormat="1" ht="11.25" customHeight="1" x14ac:dyDescent="0.2">
      <c r="A26" s="122" t="s">
        <v>756</v>
      </c>
      <c r="B26" s="175" t="s">
        <v>863</v>
      </c>
      <c r="C26" s="175"/>
      <c r="D26" s="115">
        <f>SUM(E26:RN26)</f>
        <v>2517961.6999999993</v>
      </c>
      <c r="E26" s="114"/>
      <c r="F26" s="114"/>
      <c r="G26" s="114">
        <v>12818.3</v>
      </c>
      <c r="H26" s="114"/>
      <c r="I26" s="114"/>
      <c r="J26" s="114"/>
      <c r="K26" s="114"/>
      <c r="L26" s="114"/>
      <c r="M26" s="114"/>
      <c r="N26" s="114"/>
      <c r="O26" s="114"/>
      <c r="P26" s="114">
        <v>26693</v>
      </c>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v>9549.7999999999993</v>
      </c>
      <c r="AS26" s="114"/>
      <c r="AT26" s="114"/>
      <c r="AU26" s="114"/>
      <c r="AV26" s="114"/>
      <c r="AW26" s="114">
        <v>316943.5</v>
      </c>
      <c r="AX26" s="114"/>
      <c r="AY26" s="114"/>
      <c r="AZ26" s="114"/>
      <c r="BA26" s="114"/>
      <c r="BB26" s="114"/>
      <c r="BC26" s="114"/>
      <c r="BD26" s="114"/>
      <c r="BE26" s="114"/>
      <c r="BF26" s="114"/>
      <c r="BG26" s="114"/>
      <c r="BH26" s="114"/>
      <c r="BI26" s="114"/>
      <c r="BJ26" s="114"/>
      <c r="BK26" s="114" t="s">
        <v>928</v>
      </c>
      <c r="BL26" s="99"/>
      <c r="BM26" s="99"/>
      <c r="BN26" s="99"/>
      <c r="BO26" s="99"/>
      <c r="BP26" s="99"/>
      <c r="BQ26" s="99"/>
      <c r="BR26" s="99"/>
      <c r="BS26" s="99"/>
      <c r="BT26" s="99"/>
      <c r="BU26" s="99"/>
      <c r="BV26" s="99"/>
      <c r="BW26" s="99"/>
      <c r="BX26" s="99"/>
      <c r="BY26" s="99">
        <v>99594.7</v>
      </c>
      <c r="BZ26" s="99"/>
      <c r="CA26" s="99"/>
      <c r="CB26" s="99"/>
      <c r="CC26" s="99"/>
      <c r="CD26" s="99"/>
      <c r="CE26" s="99">
        <v>29704.9</v>
      </c>
      <c r="CF26" s="99"/>
      <c r="CG26" s="99"/>
      <c r="CH26" s="99"/>
      <c r="CI26" s="99"/>
      <c r="CJ26" s="99"/>
      <c r="CK26" s="99"/>
      <c r="CL26" s="99"/>
      <c r="CM26" s="99"/>
      <c r="CN26" s="99"/>
      <c r="CO26" s="99"/>
      <c r="CP26" s="99"/>
      <c r="CQ26" s="99">
        <v>14598.8</v>
      </c>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v>13899.3</v>
      </c>
      <c r="DU26" s="99"/>
      <c r="DV26" s="99">
        <v>6795.2</v>
      </c>
      <c r="DW26" s="99"/>
      <c r="DX26" s="99"/>
      <c r="DY26" s="99"/>
      <c r="DZ26" s="99"/>
      <c r="EA26" s="99"/>
      <c r="EB26" s="99"/>
      <c r="EC26" s="99"/>
      <c r="ED26" s="99"/>
      <c r="EE26" s="99"/>
      <c r="EF26" s="99"/>
      <c r="EG26" s="99"/>
      <c r="EH26" s="99"/>
      <c r="EI26" s="99"/>
      <c r="EJ26" s="99"/>
      <c r="EK26" s="99"/>
      <c r="EL26" s="99"/>
      <c r="EM26" s="99"/>
      <c r="EN26" s="99"/>
      <c r="EO26" s="99"/>
      <c r="EP26" s="99"/>
      <c r="EQ26" s="99">
        <v>4171.7</v>
      </c>
      <c r="ER26" s="99"/>
      <c r="ES26" s="99"/>
      <c r="ET26" s="99"/>
      <c r="EU26" s="99"/>
      <c r="EV26" s="99"/>
      <c r="EW26" s="99"/>
      <c r="EX26" s="99"/>
      <c r="EY26" s="99"/>
      <c r="EZ26" s="99"/>
      <c r="FA26" s="99"/>
      <c r="FB26" s="99"/>
      <c r="FC26" s="99"/>
      <c r="FD26" s="99"/>
      <c r="FE26" s="99">
        <v>2754.1</v>
      </c>
      <c r="FF26" s="99"/>
      <c r="FG26" s="99">
        <v>16420.2</v>
      </c>
      <c r="FH26" s="99"/>
      <c r="FI26" s="99"/>
      <c r="FJ26" s="99"/>
      <c r="FK26" s="99"/>
      <c r="FL26" s="99"/>
      <c r="FM26" s="99"/>
      <c r="FN26" s="99"/>
      <c r="FO26" s="99"/>
      <c r="FP26" s="99"/>
      <c r="FQ26" s="99"/>
      <c r="FR26" s="99"/>
      <c r="FS26" s="99"/>
      <c r="FT26" s="99">
        <f>14249.2+12775.1</f>
        <v>27024.300000000003</v>
      </c>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v>46436.5</v>
      </c>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c r="IW26" s="99"/>
      <c r="IX26" s="99">
        <v>11024.9</v>
      </c>
      <c r="IY26" s="99"/>
      <c r="IZ26" s="99"/>
      <c r="JA26" s="99"/>
      <c r="JB26" s="99">
        <v>6498.4</v>
      </c>
      <c r="JC26" s="99">
        <v>18052.8</v>
      </c>
      <c r="JD26" s="99">
        <v>4862.3</v>
      </c>
      <c r="JE26" s="99"/>
      <c r="JF26" s="99"/>
      <c r="JG26" s="99"/>
      <c r="JH26" s="99"/>
      <c r="JI26" s="99"/>
      <c r="JJ26" s="99"/>
      <c r="JK26" s="99"/>
      <c r="JL26" s="99"/>
      <c r="JM26" s="99">
        <v>5766.2</v>
      </c>
      <c r="JN26" s="99"/>
      <c r="JO26" s="99"/>
      <c r="JP26" s="99"/>
      <c r="JQ26" s="99"/>
      <c r="JR26" s="99"/>
      <c r="JS26" s="99"/>
      <c r="JT26" s="99"/>
      <c r="JU26" s="99"/>
      <c r="JV26" s="99"/>
      <c r="JW26" s="99"/>
      <c r="JX26" s="99"/>
      <c r="JY26" s="99"/>
      <c r="JZ26" s="99">
        <v>58348.2</v>
      </c>
      <c r="KA26" s="99"/>
      <c r="KB26" s="99"/>
      <c r="KC26" s="99"/>
      <c r="KD26" s="99"/>
      <c r="KE26" s="99"/>
      <c r="KF26" s="99"/>
      <c r="KG26" s="99"/>
      <c r="KH26" s="99"/>
      <c r="KI26" s="99"/>
      <c r="KJ26" s="99">
        <v>1246617</v>
      </c>
      <c r="KK26" s="99"/>
      <c r="KL26" s="99"/>
      <c r="KM26" s="99"/>
      <c r="KN26" s="99"/>
      <c r="KO26" s="99">
        <v>34771.199999999997</v>
      </c>
      <c r="KP26" s="99"/>
      <c r="KQ26" s="99"/>
      <c r="KR26" s="99"/>
      <c r="KS26" s="99"/>
      <c r="KT26" s="99"/>
      <c r="KU26" s="99"/>
      <c r="KV26" s="99"/>
      <c r="KW26" s="99"/>
      <c r="KX26" s="99">
        <v>132531</v>
      </c>
      <c r="KY26" s="99"/>
      <c r="KZ26" s="99"/>
      <c r="LA26" s="99"/>
      <c r="LB26" s="99"/>
      <c r="LC26" s="99"/>
      <c r="LD26" s="99"/>
      <c r="LE26" s="99"/>
      <c r="LF26" s="99"/>
      <c r="LG26" s="99"/>
      <c r="LH26" s="99"/>
      <c r="LI26" s="99"/>
      <c r="LJ26" s="99"/>
      <c r="LK26" s="99"/>
      <c r="LL26" s="99"/>
      <c r="LM26" s="99"/>
      <c r="LN26" s="99"/>
      <c r="LO26" s="99"/>
      <c r="LP26" s="99">
        <v>7806.5</v>
      </c>
      <c r="LQ26" s="99"/>
      <c r="LR26" s="99">
        <v>13427.1</v>
      </c>
      <c r="LS26" s="99"/>
      <c r="LT26" s="99"/>
      <c r="LU26" s="99"/>
      <c r="LV26" s="99"/>
      <c r="LW26" s="99"/>
      <c r="LX26" s="99"/>
      <c r="LY26" s="99"/>
      <c r="LZ26" s="99"/>
      <c r="MA26" s="99"/>
      <c r="MB26" s="99"/>
      <c r="MC26" s="99"/>
      <c r="MD26" s="99"/>
      <c r="ME26" s="99"/>
      <c r="MF26" s="99">
        <f>45308</f>
        <v>45308</v>
      </c>
      <c r="MG26" s="99"/>
      <c r="MH26" s="99"/>
      <c r="MI26" s="99"/>
      <c r="MJ26" s="99"/>
      <c r="MK26" s="99"/>
      <c r="ML26" s="99"/>
      <c r="MM26" s="99"/>
      <c r="MN26" s="99">
        <v>11139.4</v>
      </c>
      <c r="MO26" s="99"/>
      <c r="MP26" s="99"/>
      <c r="MQ26" s="99"/>
      <c r="MR26" s="99"/>
      <c r="MS26" s="99"/>
      <c r="MT26" s="99"/>
      <c r="MU26" s="99"/>
      <c r="MV26" s="99"/>
      <c r="MW26" s="99">
        <v>9165.9</v>
      </c>
      <c r="MX26" s="99"/>
      <c r="MY26" s="99"/>
      <c r="MZ26" s="99"/>
      <c r="NA26" s="99"/>
      <c r="NB26" s="99"/>
      <c r="NC26" s="99"/>
      <c r="ND26" s="99"/>
      <c r="NE26" s="99"/>
      <c r="NF26" s="99"/>
      <c r="NG26" s="99"/>
      <c r="NH26" s="99"/>
      <c r="NI26" s="99"/>
      <c r="NJ26" s="99"/>
      <c r="NK26" s="99"/>
      <c r="NL26" s="99"/>
      <c r="NM26" s="99"/>
      <c r="NN26" s="99"/>
      <c r="NO26" s="99"/>
      <c r="NP26" s="99"/>
      <c r="NQ26" s="99"/>
      <c r="NR26" s="99"/>
      <c r="NS26" s="99"/>
      <c r="NT26" s="99"/>
      <c r="NU26" s="99"/>
      <c r="NV26" s="99"/>
      <c r="NW26" s="99"/>
      <c r="NX26" s="99">
        <f>6172.8+2618.4</f>
        <v>8791.2000000000007</v>
      </c>
      <c r="NY26" s="99"/>
      <c r="NZ26" s="99"/>
      <c r="OA26" s="99"/>
      <c r="OB26" s="99"/>
      <c r="OC26" s="99"/>
      <c r="OD26" s="99"/>
      <c r="OE26" s="99"/>
      <c r="OF26" s="99"/>
      <c r="OG26" s="99"/>
      <c r="OH26" s="99"/>
      <c r="OI26" s="99"/>
      <c r="OJ26" s="99"/>
      <c r="OK26" s="99"/>
      <c r="OL26" s="99">
        <f>11600+13610</f>
        <v>25210</v>
      </c>
      <c r="OM26" s="99"/>
      <c r="ON26" s="99"/>
      <c r="OO26" s="99">
        <v>2598.3000000000002</v>
      </c>
      <c r="OP26" s="99"/>
      <c r="OQ26" s="99"/>
      <c r="OR26" s="99"/>
      <c r="OS26" s="99"/>
      <c r="OT26" s="99">
        <v>2238.5</v>
      </c>
      <c r="OU26" s="99"/>
      <c r="OV26" s="99"/>
      <c r="OW26" s="99"/>
      <c r="OX26" s="99"/>
      <c r="OY26" s="99">
        <v>2051</v>
      </c>
      <c r="OZ26" s="99"/>
      <c r="PA26" s="99"/>
      <c r="PB26" s="99">
        <v>2422.3000000000002</v>
      </c>
      <c r="PC26" s="99"/>
      <c r="PD26" s="99"/>
      <c r="PE26" s="99"/>
      <c r="PF26" s="99"/>
      <c r="PG26" s="99">
        <v>115535.2</v>
      </c>
      <c r="PH26" s="99"/>
      <c r="PI26" s="99">
        <v>3859.3</v>
      </c>
      <c r="PJ26" s="99"/>
      <c r="PK26" s="99"/>
      <c r="PL26" s="99"/>
      <c r="PM26" s="99"/>
      <c r="PN26" s="99"/>
      <c r="PO26" s="99"/>
      <c r="PP26" s="99"/>
      <c r="PQ26" s="99"/>
      <c r="PR26" s="99"/>
      <c r="PS26" s="99">
        <v>1687.5</v>
      </c>
      <c r="PT26" s="99"/>
      <c r="PU26" s="99"/>
      <c r="PV26" s="99"/>
      <c r="PW26" s="99"/>
      <c r="PX26" s="99"/>
      <c r="PY26" s="99"/>
      <c r="PZ26" s="99"/>
      <c r="QA26" s="99"/>
      <c r="QB26" s="99"/>
      <c r="QC26" s="99"/>
      <c r="QD26" s="99"/>
      <c r="QE26" s="99"/>
      <c r="QF26" s="99">
        <v>29982</v>
      </c>
      <c r="QG26" s="99"/>
      <c r="QH26" s="99"/>
      <c r="QI26" s="99">
        <v>31167.200000000001</v>
      </c>
      <c r="QJ26" s="99"/>
      <c r="QK26" s="99"/>
      <c r="QL26" s="99"/>
      <c r="QM26" s="99"/>
      <c r="QN26" s="99">
        <v>21223.3</v>
      </c>
      <c r="QO26" s="99"/>
      <c r="QP26" s="99">
        <v>96.9</v>
      </c>
      <c r="QQ26" s="99"/>
      <c r="QR26" s="99"/>
      <c r="QS26" s="99"/>
      <c r="QT26" s="99"/>
      <c r="QU26" s="99">
        <v>9065.5</v>
      </c>
      <c r="QV26" s="99"/>
      <c r="QW26" s="99"/>
      <c r="QX26" s="99"/>
      <c r="QY26" s="99"/>
      <c r="QZ26" s="99"/>
      <c r="RA26" s="99"/>
      <c r="RB26" s="99"/>
      <c r="RC26" s="99"/>
      <c r="RD26" s="99"/>
      <c r="RE26" s="99"/>
      <c r="RF26" s="99"/>
      <c r="RG26" s="99">
        <v>3709.8</v>
      </c>
      <c r="RH26" s="99"/>
      <c r="RI26" s="99"/>
      <c r="RJ26" s="99"/>
      <c r="RK26" s="99"/>
      <c r="RL26" s="99"/>
      <c r="RM26" s="99"/>
      <c r="RN26" s="99">
        <v>25600.5</v>
      </c>
    </row>
    <row r="27" spans="1:482" s="60" customFormat="1" ht="11.25" customHeight="1" x14ac:dyDescent="0.2">
      <c r="A27" s="122" t="s">
        <v>757</v>
      </c>
      <c r="B27" s="175" t="s">
        <v>864</v>
      </c>
      <c r="C27" s="175"/>
      <c r="D27" s="115">
        <f t="shared" ref="D27:D34" si="73">SUM(E27:RR27)</f>
        <v>7793610.7000000002</v>
      </c>
      <c r="E27" s="114"/>
      <c r="F27" s="114"/>
      <c r="G27" s="114"/>
      <c r="H27" s="114"/>
      <c r="I27" s="114"/>
      <c r="J27" s="114"/>
      <c r="K27" s="114"/>
      <c r="L27" s="114"/>
      <c r="M27" s="114"/>
      <c r="N27" s="114"/>
      <c r="O27" s="114"/>
      <c r="P27" s="114"/>
      <c r="Q27" s="114"/>
      <c r="R27" s="114">
        <f>15278.4+15</f>
        <v>15293.4</v>
      </c>
      <c r="S27" s="114"/>
      <c r="T27" s="114"/>
      <c r="U27" s="114"/>
      <c r="V27" s="114"/>
      <c r="W27" s="114"/>
      <c r="X27" s="114">
        <f>32061.6+3446</f>
        <v>35507.599999999999</v>
      </c>
      <c r="Y27" s="114"/>
      <c r="Z27" s="114"/>
      <c r="AA27" s="114"/>
      <c r="AB27" s="114"/>
      <c r="AC27" s="114">
        <f>56700+400</f>
        <v>57100</v>
      </c>
      <c r="AD27" s="114"/>
      <c r="AE27" s="114">
        <f>984317.3+4572</f>
        <v>988889.3</v>
      </c>
      <c r="AF27" s="114">
        <f>470016+18796.7</f>
        <v>488812.7</v>
      </c>
      <c r="AG27" s="114">
        <f>26035.2+664</f>
        <v>26699.200000000001</v>
      </c>
      <c r="AH27" s="114">
        <f>6212.6+324</f>
        <v>6536.6</v>
      </c>
      <c r="AI27" s="114"/>
      <c r="AJ27" s="114">
        <f>39118.2+1747.2</f>
        <v>40865.399999999994</v>
      </c>
      <c r="AK27" s="114">
        <f>1476+1204</f>
        <v>2680</v>
      </c>
      <c r="AL27" s="114"/>
      <c r="AM27" s="114">
        <f>5184+30</f>
        <v>5214</v>
      </c>
      <c r="AN27" s="114"/>
      <c r="AO27" s="114"/>
      <c r="AP27" s="114">
        <v>1575</v>
      </c>
      <c r="AQ27" s="114">
        <f>347328+2275</f>
        <v>349603</v>
      </c>
      <c r="AR27" s="114"/>
      <c r="AS27" s="114"/>
      <c r="AT27" s="114">
        <f>1178481.6+21707.2</f>
        <v>1200188.8</v>
      </c>
      <c r="AU27" s="114"/>
      <c r="AV27" s="114"/>
      <c r="AW27" s="114"/>
      <c r="AX27" s="114"/>
      <c r="AY27" s="114">
        <f>5832+124</f>
        <v>5956</v>
      </c>
      <c r="AZ27" s="114"/>
      <c r="BA27" s="114">
        <f>377935.2+7103</f>
        <v>385038.2</v>
      </c>
      <c r="BB27" s="114">
        <f>24652.8+898</f>
        <v>25550.799999999999</v>
      </c>
      <c r="BC27" s="114">
        <f>2592+17</f>
        <v>2609</v>
      </c>
      <c r="BD27" s="114">
        <f>66564+588</f>
        <v>67152</v>
      </c>
      <c r="BE27" s="114">
        <f>2592+15</f>
        <v>2607</v>
      </c>
      <c r="BF27" s="114"/>
      <c r="BG27" s="114"/>
      <c r="BH27" s="114"/>
      <c r="BI27" s="114"/>
      <c r="BJ27" s="114"/>
      <c r="BK27" s="114" t="s">
        <v>929</v>
      </c>
      <c r="BL27" s="99"/>
      <c r="BM27" s="99"/>
      <c r="BN27" s="99"/>
      <c r="BO27" s="99"/>
      <c r="BP27" s="99"/>
      <c r="BQ27" s="99"/>
      <c r="BR27" s="99"/>
      <c r="BS27" s="99"/>
      <c r="BT27" s="99"/>
      <c r="BU27" s="99"/>
      <c r="BV27" s="99">
        <f>7776+57</f>
        <v>7833</v>
      </c>
      <c r="BW27" s="99"/>
      <c r="BX27" s="99"/>
      <c r="BY27" s="99"/>
      <c r="BZ27" s="99">
        <f>127656+1335</f>
        <v>128991</v>
      </c>
      <c r="CA27" s="99"/>
      <c r="CB27" s="99"/>
      <c r="CC27" s="99">
        <v>16</v>
      </c>
      <c r="CD27" s="99">
        <f>66919.2+3837</f>
        <v>70756.2</v>
      </c>
      <c r="CE27" s="99"/>
      <c r="CF27" s="99"/>
      <c r="CG27" s="99"/>
      <c r="CH27" s="99">
        <f>10368+506</f>
        <v>10874</v>
      </c>
      <c r="CI27" s="99"/>
      <c r="CJ27" s="99"/>
      <c r="CK27" s="99"/>
      <c r="CL27" s="99"/>
      <c r="CM27" s="99">
        <f>7920+571</f>
        <v>8491</v>
      </c>
      <c r="CN27" s="99"/>
      <c r="CO27" s="99">
        <v>8</v>
      </c>
      <c r="CP27" s="99"/>
      <c r="CQ27" s="99"/>
      <c r="CR27" s="99"/>
      <c r="CS27" s="99">
        <f>62272.8+699.3</f>
        <v>62972.100000000006</v>
      </c>
      <c r="CT27" s="99"/>
      <c r="CU27" s="99"/>
      <c r="CV27" s="99"/>
      <c r="CW27" s="99">
        <f>5193.6+32</f>
        <v>5225.6000000000004</v>
      </c>
      <c r="CX27" s="99">
        <f>16740+935</f>
        <v>17675</v>
      </c>
      <c r="CY27" s="99"/>
      <c r="CZ27" s="99"/>
      <c r="DA27" s="99">
        <f>648+15</f>
        <v>663</v>
      </c>
      <c r="DB27" s="99"/>
      <c r="DC27" s="99"/>
      <c r="DD27" s="99"/>
      <c r="DE27" s="99"/>
      <c r="DF27" s="99"/>
      <c r="DG27" s="99"/>
      <c r="DH27" s="99"/>
      <c r="DI27" s="99"/>
      <c r="DJ27" s="99"/>
      <c r="DK27" s="99"/>
      <c r="DL27" s="99"/>
      <c r="DM27" s="99">
        <f>117245.6+4300.6</f>
        <v>121546.20000000001</v>
      </c>
      <c r="DN27" s="99"/>
      <c r="DO27" s="99"/>
      <c r="DP27" s="99">
        <f>8640+275</f>
        <v>8915</v>
      </c>
      <c r="DQ27" s="99"/>
      <c r="DR27" s="99">
        <f>2592+26.6</f>
        <v>2618.6</v>
      </c>
      <c r="DS27" s="99"/>
      <c r="DT27" s="99"/>
      <c r="DU27" s="99"/>
      <c r="DV27" s="99">
        <f>15984+231</f>
        <v>16215</v>
      </c>
      <c r="DW27" s="99">
        <f>24408+289</f>
        <v>24697</v>
      </c>
      <c r="DX27" s="99"/>
      <c r="DY27" s="99"/>
      <c r="DZ27" s="99"/>
      <c r="EA27" s="99"/>
      <c r="EB27" s="99"/>
      <c r="EC27" s="99"/>
      <c r="ED27" s="99"/>
      <c r="EE27" s="99"/>
      <c r="EF27" s="99"/>
      <c r="EG27" s="99"/>
      <c r="EH27" s="99"/>
      <c r="EI27" s="99">
        <f>703857.6+27793.8</f>
        <v>731651.4</v>
      </c>
      <c r="EJ27" s="99"/>
      <c r="EK27" s="99"/>
      <c r="EL27" s="99">
        <f>3024+47</f>
        <v>3071</v>
      </c>
      <c r="EM27" s="99"/>
      <c r="EN27" s="99"/>
      <c r="EO27" s="99"/>
      <c r="EP27" s="99"/>
      <c r="EQ27" s="99">
        <f>7776+85</f>
        <v>7861</v>
      </c>
      <c r="ER27" s="99">
        <f>10368+2</f>
        <v>10370</v>
      </c>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f>56764.8+1200.8</f>
        <v>57965.600000000006</v>
      </c>
      <c r="FW27" s="99"/>
      <c r="FX27" s="99"/>
      <c r="FY27" s="99"/>
      <c r="FZ27" s="99"/>
      <c r="GA27" s="99"/>
      <c r="GB27" s="99">
        <f>42861.6+1165.4</f>
        <v>44027</v>
      </c>
      <c r="GC27" s="99"/>
      <c r="GD27" s="99">
        <f>36864+1145</f>
        <v>38009</v>
      </c>
      <c r="GE27" s="99"/>
      <c r="GF27" s="99"/>
      <c r="GG27" s="99"/>
      <c r="GH27" s="99"/>
      <c r="GI27" s="99"/>
      <c r="GJ27" s="99">
        <f>864+55</f>
        <v>919</v>
      </c>
      <c r="GK27" s="99"/>
      <c r="GL27" s="99"/>
      <c r="GM27" s="99"/>
      <c r="GN27" s="99"/>
      <c r="GO27" s="99"/>
      <c r="GP27" s="99"/>
      <c r="GQ27" s="99"/>
      <c r="GR27" s="99"/>
      <c r="GS27" s="99"/>
      <c r="GT27" s="99"/>
      <c r="GU27" s="99"/>
      <c r="GV27" s="99"/>
      <c r="GW27" s="99"/>
      <c r="GX27" s="99"/>
      <c r="GY27" s="99"/>
      <c r="GZ27" s="99"/>
      <c r="HA27" s="99"/>
      <c r="HB27" s="99"/>
      <c r="HC27" s="99"/>
      <c r="HD27" s="99"/>
      <c r="HE27" s="99">
        <f>35877.6+593</f>
        <v>36470.6</v>
      </c>
      <c r="HF27" s="99"/>
      <c r="HG27" s="99"/>
      <c r="HH27" s="99"/>
      <c r="HI27" s="99">
        <f>12744+410</f>
        <v>13154</v>
      </c>
      <c r="HJ27" s="99"/>
      <c r="HK27" s="99"/>
      <c r="HL27" s="99"/>
      <c r="HM27" s="99"/>
      <c r="HN27" s="99"/>
      <c r="HO27" s="99"/>
      <c r="HP27" s="99"/>
      <c r="HQ27" s="99"/>
      <c r="HR27" s="99"/>
      <c r="HS27" s="99">
        <f>6480+177.6</f>
        <v>6657.6</v>
      </c>
      <c r="HT27" s="99"/>
      <c r="HU27" s="99"/>
      <c r="HV27" s="99"/>
      <c r="HW27" s="99"/>
      <c r="HX27" s="99"/>
      <c r="HY27" s="99"/>
      <c r="HZ27" s="99"/>
      <c r="IA27" s="99">
        <f>5400+125</f>
        <v>5525</v>
      </c>
      <c r="IB27" s="99"/>
      <c r="IC27" s="99"/>
      <c r="ID27" s="99"/>
      <c r="IE27" s="99"/>
      <c r="IF27" s="99"/>
      <c r="IG27" s="99"/>
      <c r="IH27" s="99"/>
      <c r="II27" s="99"/>
      <c r="IJ27" s="99"/>
      <c r="IK27" s="99"/>
      <c r="IL27" s="99"/>
      <c r="IM27" s="99"/>
      <c r="IN27" s="99"/>
      <c r="IO27" s="99"/>
      <c r="IP27" s="99"/>
      <c r="IQ27" s="99"/>
      <c r="IR27" s="99">
        <f>900482.4+23880</f>
        <v>924362.4</v>
      </c>
      <c r="IS27" s="99"/>
      <c r="IT27" s="99"/>
      <c r="IU27" s="99"/>
      <c r="IV27" s="99">
        <f>29834.2+255</f>
        <v>30089.200000000001</v>
      </c>
      <c r="IW27" s="99"/>
      <c r="IX27" s="99"/>
      <c r="IY27" s="99"/>
      <c r="IZ27" s="99"/>
      <c r="JA27" s="99"/>
      <c r="JB27" s="99"/>
      <c r="JC27" s="99">
        <f>2160+416</f>
        <v>2576</v>
      </c>
      <c r="JD27" s="99"/>
      <c r="JE27" s="99"/>
      <c r="JF27" s="99"/>
      <c r="JG27" s="99"/>
      <c r="JH27" s="99"/>
      <c r="JI27" s="99">
        <f>6480+108</f>
        <v>6588</v>
      </c>
      <c r="JJ27" s="99"/>
      <c r="JK27" s="99">
        <f>20736+1382</f>
        <v>22118</v>
      </c>
      <c r="JL27" s="99">
        <f>1296+25</f>
        <v>1321</v>
      </c>
      <c r="JM27" s="99">
        <f>14040+158</f>
        <v>14198</v>
      </c>
      <c r="JN27" s="99"/>
      <c r="JO27" s="99"/>
      <c r="JP27" s="99"/>
      <c r="JQ27" s="99"/>
      <c r="JR27" s="99"/>
      <c r="JS27" s="99"/>
      <c r="JT27" s="99"/>
      <c r="JU27" s="99"/>
      <c r="JV27" s="99"/>
      <c r="JW27" s="99">
        <f>10198+385</f>
        <v>10583</v>
      </c>
      <c r="JX27" s="99"/>
      <c r="JY27" s="99"/>
      <c r="JZ27" s="99">
        <f>26618.4+310</f>
        <v>26928.400000000001</v>
      </c>
      <c r="KA27" s="99"/>
      <c r="KB27" s="99"/>
      <c r="KC27" s="99"/>
      <c r="KD27" s="99"/>
      <c r="KE27" s="99"/>
      <c r="KF27" s="99"/>
      <c r="KG27" s="99"/>
      <c r="KH27" s="99"/>
      <c r="KI27" s="99"/>
      <c r="KJ27" s="99">
        <f>626616+13669.2</f>
        <v>640285.19999999995</v>
      </c>
      <c r="KK27" s="99"/>
      <c r="KL27" s="99"/>
      <c r="KM27" s="99"/>
      <c r="KN27" s="99"/>
      <c r="KO27" s="99"/>
      <c r="KP27" s="99"/>
      <c r="KQ27" s="99"/>
      <c r="KR27" s="99"/>
      <c r="KS27" s="99"/>
      <c r="KT27" s="99"/>
      <c r="KU27" s="99"/>
      <c r="KV27" s="99"/>
      <c r="KW27" s="99"/>
      <c r="KX27" s="99">
        <f>420704+3786</f>
        <v>424490</v>
      </c>
      <c r="KY27" s="99"/>
      <c r="KZ27" s="99"/>
      <c r="LA27" s="99"/>
      <c r="LB27" s="99"/>
      <c r="LC27" s="99"/>
      <c r="LD27" s="99"/>
      <c r="LE27" s="99"/>
      <c r="LF27" s="99"/>
      <c r="LG27" s="99"/>
      <c r="LH27" s="99"/>
      <c r="LI27" s="99"/>
      <c r="LJ27" s="99"/>
      <c r="LK27" s="99"/>
      <c r="LL27" s="99"/>
      <c r="LM27" s="99"/>
      <c r="LN27" s="99"/>
      <c r="LO27" s="99"/>
      <c r="LP27" s="99">
        <f>8640+209</f>
        <v>8849</v>
      </c>
      <c r="LQ27" s="99"/>
      <c r="LR27" s="99"/>
      <c r="LS27" s="99"/>
      <c r="LT27" s="99"/>
      <c r="LU27" s="99"/>
      <c r="LV27" s="99">
        <f>4284+145</f>
        <v>4429</v>
      </c>
      <c r="LW27" s="99"/>
      <c r="LX27" s="99"/>
      <c r="LY27" s="99"/>
      <c r="LZ27" s="99"/>
      <c r="MA27" s="99">
        <f>3888+211.6</f>
        <v>4099.6000000000004</v>
      </c>
      <c r="MB27" s="99"/>
      <c r="MC27" s="99"/>
      <c r="MD27" s="99"/>
      <c r="ME27" s="99"/>
      <c r="MF27" s="99"/>
      <c r="MG27" s="99"/>
      <c r="MH27" s="99">
        <f>432+25</f>
        <v>457</v>
      </c>
      <c r="MI27" s="99"/>
      <c r="MJ27" s="99"/>
      <c r="MK27" s="99"/>
      <c r="ML27" s="99">
        <f>50601.6+1160</f>
        <v>51761.599999999999</v>
      </c>
      <c r="MM27" s="99"/>
      <c r="MN27" s="99"/>
      <c r="MO27" s="99"/>
      <c r="MP27" s="99"/>
      <c r="MQ27" s="99">
        <f>43718.4+1054</f>
        <v>44772.4</v>
      </c>
      <c r="MR27" s="99"/>
      <c r="MS27" s="99"/>
      <c r="MT27" s="99"/>
      <c r="MU27" s="99"/>
      <c r="MV27" s="99"/>
      <c r="MW27" s="99"/>
      <c r="MX27" s="99"/>
      <c r="MY27" s="99"/>
      <c r="MZ27" s="99"/>
      <c r="NA27" s="99"/>
      <c r="NB27" s="99"/>
      <c r="NC27" s="99"/>
      <c r="ND27" s="99"/>
      <c r="NE27" s="99"/>
      <c r="NF27" s="99">
        <f>2160+472</f>
        <v>2632</v>
      </c>
      <c r="NG27" s="99"/>
      <c r="NH27" s="99"/>
      <c r="NI27" s="99"/>
      <c r="NJ27" s="99"/>
      <c r="NK27" s="99"/>
      <c r="NL27" s="99"/>
      <c r="NM27" s="99"/>
      <c r="NN27" s="99"/>
      <c r="NO27" s="99"/>
      <c r="NP27" s="99"/>
      <c r="NQ27" s="99"/>
      <c r="NR27" s="99"/>
      <c r="NS27" s="99"/>
      <c r="NT27" s="99"/>
      <c r="NU27" s="99"/>
      <c r="NV27" s="99"/>
      <c r="NW27" s="99"/>
      <c r="NX27" s="99"/>
      <c r="NY27" s="99"/>
      <c r="NZ27" s="99"/>
      <c r="OA27" s="99">
        <f>435+220.8</f>
        <v>655.8</v>
      </c>
      <c r="OB27" s="99"/>
      <c r="OC27" s="99">
        <f>3888+424</f>
        <v>4312</v>
      </c>
      <c r="OD27" s="99"/>
      <c r="OE27" s="99"/>
      <c r="OF27" s="99">
        <f>691.2+685</f>
        <v>1376.2</v>
      </c>
      <c r="OG27" s="99"/>
      <c r="OH27" s="99"/>
      <c r="OI27" s="99"/>
      <c r="OJ27" s="99">
        <f>5832+89</f>
        <v>5921</v>
      </c>
      <c r="OK27" s="99"/>
      <c r="OL27" s="99">
        <f>1512+67</f>
        <v>1579</v>
      </c>
      <c r="OM27" s="99">
        <f>2592+25</f>
        <v>2617</v>
      </c>
      <c r="ON27" s="99"/>
      <c r="OO27" s="99"/>
      <c r="OP27" s="99"/>
      <c r="OQ27" s="99"/>
      <c r="OR27" s="99"/>
      <c r="OS27" s="99"/>
      <c r="OT27" s="99"/>
      <c r="OU27" s="99"/>
      <c r="OV27" s="99"/>
      <c r="OW27" s="99"/>
      <c r="OX27" s="99"/>
      <c r="OY27" s="99"/>
      <c r="OZ27" s="99">
        <f>135777.6+1882</f>
        <v>137659.6</v>
      </c>
      <c r="PA27" s="99"/>
      <c r="PB27" s="99"/>
      <c r="PC27" s="99"/>
      <c r="PD27" s="99"/>
      <c r="PE27" s="99"/>
      <c r="PF27" s="99"/>
      <c r="PG27" s="99"/>
      <c r="PH27" s="99"/>
      <c r="PI27" s="99"/>
      <c r="PJ27" s="99"/>
      <c r="PK27" s="99"/>
      <c r="PL27" s="99"/>
      <c r="PM27" s="99"/>
      <c r="PN27" s="99"/>
      <c r="PO27" s="99"/>
      <c r="PP27" s="99"/>
      <c r="PQ27" s="99"/>
      <c r="PR27" s="99"/>
      <c r="PS27" s="99"/>
      <c r="PT27" s="99"/>
      <c r="PU27" s="99"/>
      <c r="PV27" s="99"/>
      <c r="PW27" s="99">
        <f>169171.2+2886.4</f>
        <v>172057.60000000001</v>
      </c>
      <c r="PX27" s="99"/>
      <c r="PY27" s="99"/>
      <c r="PZ27" s="99"/>
      <c r="QA27" s="99"/>
      <c r="QB27" s="99"/>
      <c r="QC27" s="99"/>
      <c r="QD27" s="99">
        <f>7776+65</f>
        <v>7841</v>
      </c>
      <c r="QE27" s="99"/>
      <c r="QF27" s="99">
        <v>64</v>
      </c>
      <c r="QG27" s="99"/>
      <c r="QH27" s="99"/>
      <c r="QI27" s="99">
        <f>52747.2+1150</f>
        <v>53897.2</v>
      </c>
      <c r="QJ27" s="99"/>
      <c r="QK27" s="99"/>
      <c r="QL27" s="99"/>
      <c r="QM27" s="99">
        <v>150</v>
      </c>
      <c r="QN27" s="99">
        <f>9892.8+416</f>
        <v>10308.799999999999</v>
      </c>
      <c r="QO27" s="99"/>
      <c r="QP27" s="99">
        <f>9892.8+223</f>
        <v>10115.799999999999</v>
      </c>
      <c r="QQ27" s="99"/>
      <c r="QR27" s="99"/>
      <c r="QS27" s="99">
        <f>2160+223</f>
        <v>2383</v>
      </c>
      <c r="QT27" s="99"/>
      <c r="QU27" s="99"/>
      <c r="QV27" s="99"/>
      <c r="QW27" s="99"/>
      <c r="QX27" s="99"/>
      <c r="QY27" s="99"/>
      <c r="QZ27" s="99"/>
      <c r="RA27" s="99"/>
      <c r="RB27" s="99"/>
      <c r="RC27" s="99"/>
      <c r="RD27" s="99"/>
      <c r="RE27" s="99"/>
      <c r="RF27" s="99"/>
      <c r="RG27" s="99">
        <f>10368+709</f>
        <v>11077</v>
      </c>
      <c r="RH27" s="99"/>
      <c r="RI27" s="99"/>
      <c r="RJ27" s="99"/>
      <c r="RK27" s="99"/>
      <c r="RL27" s="99"/>
      <c r="RM27" s="99"/>
      <c r="RN27" s="99"/>
    </row>
    <row r="28" spans="1:482" s="60" customFormat="1" ht="11.25" customHeight="1" x14ac:dyDescent="0.2">
      <c r="A28" s="122" t="s">
        <v>758</v>
      </c>
      <c r="B28" s="175" t="s">
        <v>759</v>
      </c>
      <c r="C28" s="175"/>
      <c r="D28" s="115">
        <f t="shared" si="73"/>
        <v>0</v>
      </c>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t="s">
        <v>912</v>
      </c>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c r="IW28" s="99"/>
      <c r="IX28" s="99"/>
      <c r="IY28" s="99"/>
      <c r="IZ28" s="99"/>
      <c r="JA28" s="99"/>
      <c r="JB28" s="99"/>
      <c r="JC28" s="99"/>
      <c r="JD28" s="99"/>
      <c r="JE28" s="99"/>
      <c r="JF28" s="99"/>
      <c r="JG28" s="99"/>
      <c r="JH28" s="99"/>
      <c r="JI28" s="99"/>
      <c r="JJ28" s="99"/>
      <c r="JK28" s="99"/>
      <c r="JL28" s="99"/>
      <c r="JM28" s="99"/>
      <c r="JN28" s="99"/>
      <c r="JO28" s="99"/>
      <c r="JP28" s="99"/>
      <c r="JQ28" s="99"/>
      <c r="JR28" s="99"/>
      <c r="JS28" s="99"/>
      <c r="JT28" s="99"/>
      <c r="JU28" s="99"/>
      <c r="JV28" s="99"/>
      <c r="JW28" s="99"/>
      <c r="JX28" s="99"/>
      <c r="JY28" s="99"/>
      <c r="JZ28" s="99"/>
      <c r="KA28" s="99"/>
      <c r="KB28" s="99"/>
      <c r="KC28" s="99"/>
      <c r="KD28" s="99"/>
      <c r="KE28" s="99"/>
      <c r="KF28" s="99"/>
      <c r="KG28" s="99"/>
      <c r="KH28" s="99"/>
      <c r="KI28" s="99"/>
      <c r="KJ28" s="99"/>
      <c r="KK28" s="99"/>
      <c r="KL28" s="99"/>
      <c r="KM28" s="99"/>
      <c r="KN28" s="99"/>
      <c r="KO28" s="99"/>
      <c r="KP28" s="99"/>
      <c r="KQ28" s="99"/>
      <c r="KR28" s="99"/>
      <c r="KS28" s="99"/>
      <c r="KT28" s="99"/>
      <c r="KU28" s="99"/>
      <c r="KV28" s="99"/>
      <c r="KW28" s="99"/>
      <c r="KX28" s="99"/>
      <c r="KY28" s="99"/>
      <c r="KZ28" s="99"/>
      <c r="LA28" s="99"/>
      <c r="LB28" s="99"/>
      <c r="LC28" s="99"/>
      <c r="LD28" s="99"/>
      <c r="LE28" s="99"/>
      <c r="LF28" s="99"/>
      <c r="LG28" s="99"/>
      <c r="LH28" s="99"/>
      <c r="LI28" s="99"/>
      <c r="LJ28" s="99"/>
      <c r="LK28" s="99"/>
      <c r="LL28" s="99"/>
      <c r="LM28" s="99"/>
      <c r="LN28" s="99"/>
      <c r="LO28" s="99"/>
      <c r="LP28" s="99"/>
      <c r="LQ28" s="99"/>
      <c r="LR28" s="99"/>
      <c r="LS28" s="99"/>
      <c r="LT28" s="99"/>
      <c r="LU28" s="99"/>
      <c r="LV28" s="99"/>
      <c r="LW28" s="99"/>
      <c r="LX28" s="99"/>
      <c r="LY28" s="99"/>
      <c r="LZ28" s="99"/>
      <c r="MA28" s="99"/>
      <c r="MB28" s="99"/>
      <c r="MC28" s="99"/>
      <c r="MD28" s="99"/>
      <c r="ME28" s="99"/>
      <c r="MF28" s="99"/>
      <c r="MG28" s="99"/>
      <c r="MH28" s="99"/>
      <c r="MI28" s="99"/>
      <c r="MJ28" s="99"/>
      <c r="MK28" s="99"/>
      <c r="ML28" s="99"/>
      <c r="MM28" s="99"/>
      <c r="MN28" s="99"/>
      <c r="MO28" s="99"/>
      <c r="MP28" s="99"/>
      <c r="MQ28" s="99"/>
      <c r="MR28" s="99"/>
      <c r="MS28" s="99"/>
      <c r="MT28" s="99"/>
      <c r="MU28" s="99"/>
      <c r="MV28" s="99"/>
      <c r="MW28" s="99"/>
      <c r="MX28" s="99"/>
      <c r="MY28" s="99"/>
      <c r="MZ28" s="99"/>
      <c r="NA28" s="99"/>
      <c r="NB28" s="99"/>
      <c r="NC28" s="99"/>
      <c r="ND28" s="99"/>
      <c r="NE28" s="99"/>
      <c r="NF28" s="99"/>
      <c r="NG28" s="99"/>
      <c r="NH28" s="99"/>
      <c r="NI28" s="99"/>
      <c r="NJ28" s="99"/>
      <c r="NK28" s="99"/>
      <c r="NL28" s="99"/>
      <c r="NM28" s="99"/>
      <c r="NN28" s="99"/>
      <c r="NO28" s="99"/>
      <c r="NP28" s="99"/>
      <c r="NQ28" s="99"/>
      <c r="NR28" s="99"/>
      <c r="NS28" s="99"/>
      <c r="NT28" s="99"/>
      <c r="NU28" s="99"/>
      <c r="NV28" s="99"/>
      <c r="NW28" s="99"/>
      <c r="NX28" s="99"/>
      <c r="NY28" s="99"/>
      <c r="NZ28" s="99"/>
      <c r="OA28" s="99"/>
      <c r="OB28" s="99"/>
      <c r="OC28" s="99"/>
      <c r="OD28" s="99"/>
      <c r="OE28" s="99"/>
      <c r="OF28" s="99"/>
      <c r="OG28" s="99"/>
      <c r="OH28" s="99"/>
      <c r="OI28" s="99"/>
      <c r="OJ28" s="99"/>
      <c r="OK28" s="99"/>
      <c r="OL28" s="99"/>
      <c r="OM28" s="99"/>
      <c r="ON28" s="99"/>
      <c r="OO28" s="99"/>
      <c r="OP28" s="99"/>
      <c r="OQ28" s="99"/>
      <c r="OR28" s="99"/>
      <c r="OS28" s="99"/>
      <c r="OT28" s="99"/>
      <c r="OU28" s="99"/>
      <c r="OV28" s="99"/>
      <c r="OW28" s="99"/>
      <c r="OX28" s="99"/>
      <c r="OY28" s="99"/>
      <c r="OZ28" s="99"/>
      <c r="PA28" s="99"/>
      <c r="PB28" s="99"/>
      <c r="PC28" s="99"/>
      <c r="PD28" s="99"/>
      <c r="PE28" s="99"/>
      <c r="PF28" s="99"/>
      <c r="PG28" s="99"/>
      <c r="PH28" s="99"/>
      <c r="PI28" s="99"/>
      <c r="PJ28" s="99"/>
      <c r="PK28" s="99"/>
      <c r="PL28" s="99"/>
      <c r="PM28" s="99"/>
      <c r="PN28" s="99"/>
      <c r="PO28" s="99"/>
      <c r="PP28" s="99"/>
      <c r="PQ28" s="99"/>
      <c r="PR28" s="99"/>
      <c r="PS28" s="99"/>
      <c r="PT28" s="99"/>
      <c r="PU28" s="99"/>
      <c r="PV28" s="99"/>
      <c r="PW28" s="99"/>
      <c r="PX28" s="99"/>
      <c r="PY28" s="99"/>
      <c r="PZ28" s="99"/>
      <c r="QA28" s="99"/>
      <c r="QB28" s="99"/>
      <c r="QC28" s="99"/>
      <c r="QD28" s="99"/>
      <c r="QE28" s="99"/>
      <c r="QF28" s="99"/>
      <c r="QG28" s="99"/>
      <c r="QH28" s="99"/>
      <c r="QI28" s="99"/>
      <c r="QJ28" s="99"/>
      <c r="QK28" s="99"/>
      <c r="QL28" s="99"/>
      <c r="QM28" s="99"/>
      <c r="QN28" s="99"/>
      <c r="QO28" s="99"/>
      <c r="QP28" s="99"/>
      <c r="QQ28" s="99"/>
      <c r="QR28" s="99"/>
      <c r="QS28" s="99"/>
      <c r="QT28" s="99"/>
      <c r="QU28" s="99"/>
      <c r="QV28" s="99"/>
      <c r="QW28" s="99"/>
      <c r="QX28" s="99"/>
      <c r="QY28" s="99"/>
      <c r="QZ28" s="99"/>
      <c r="RA28" s="99"/>
      <c r="RB28" s="99"/>
      <c r="RC28" s="99"/>
      <c r="RD28" s="99"/>
      <c r="RE28" s="99"/>
      <c r="RF28" s="99"/>
      <c r="RG28" s="99"/>
      <c r="RH28" s="99"/>
      <c r="RI28" s="99"/>
      <c r="RJ28" s="99"/>
      <c r="RK28" s="99"/>
      <c r="RL28" s="99"/>
      <c r="RM28" s="99"/>
      <c r="RN28" s="99"/>
    </row>
    <row r="29" spans="1:482" s="60" customFormat="1" ht="11.25" customHeight="1" x14ac:dyDescent="0.2">
      <c r="A29" s="122" t="s">
        <v>760</v>
      </c>
      <c r="B29" s="175" t="s">
        <v>761</v>
      </c>
      <c r="C29" s="175"/>
      <c r="D29" s="115">
        <f t="shared" si="73"/>
        <v>0</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t="s">
        <v>912</v>
      </c>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c r="IW29" s="99"/>
      <c r="IX29" s="99"/>
      <c r="IY29" s="99"/>
      <c r="IZ29" s="99"/>
      <c r="JA29" s="99"/>
      <c r="JB29" s="99"/>
      <c r="JC29" s="99"/>
      <c r="JD29" s="99"/>
      <c r="JE29" s="99"/>
      <c r="JF29" s="99"/>
      <c r="JG29" s="99"/>
      <c r="JH29" s="99"/>
      <c r="JI29" s="99"/>
      <c r="JJ29" s="99"/>
      <c r="JK29" s="99"/>
      <c r="JL29" s="99"/>
      <c r="JM29" s="99"/>
      <c r="JN29" s="99"/>
      <c r="JO29" s="99"/>
      <c r="JP29" s="99"/>
      <c r="JQ29" s="99"/>
      <c r="JR29" s="99"/>
      <c r="JS29" s="99"/>
      <c r="JT29" s="99"/>
      <c r="JU29" s="99"/>
      <c r="JV29" s="99"/>
      <c r="JW29" s="99"/>
      <c r="JX29" s="99"/>
      <c r="JY29" s="99"/>
      <c r="JZ29" s="99"/>
      <c r="KA29" s="99"/>
      <c r="KB29" s="99"/>
      <c r="KC29" s="99"/>
      <c r="KD29" s="99"/>
      <c r="KE29" s="99"/>
      <c r="KF29" s="99"/>
      <c r="KG29" s="99"/>
      <c r="KH29" s="99"/>
      <c r="KI29" s="99"/>
      <c r="KJ29" s="99"/>
      <c r="KK29" s="99"/>
      <c r="KL29" s="99"/>
      <c r="KM29" s="99"/>
      <c r="KN29" s="99"/>
      <c r="KO29" s="99"/>
      <c r="KP29" s="99"/>
      <c r="KQ29" s="99"/>
      <c r="KR29" s="99"/>
      <c r="KS29" s="99"/>
      <c r="KT29" s="99"/>
      <c r="KU29" s="99"/>
      <c r="KV29" s="99"/>
      <c r="KW29" s="99"/>
      <c r="KX29" s="99"/>
      <c r="KY29" s="99"/>
      <c r="KZ29" s="99"/>
      <c r="LA29" s="99"/>
      <c r="LB29" s="99"/>
      <c r="LC29" s="99"/>
      <c r="LD29" s="99"/>
      <c r="LE29" s="99"/>
      <c r="LF29" s="99"/>
      <c r="LG29" s="99"/>
      <c r="LH29" s="99"/>
      <c r="LI29" s="99"/>
      <c r="LJ29" s="99"/>
      <c r="LK29" s="99"/>
      <c r="LL29" s="99"/>
      <c r="LM29" s="99"/>
      <c r="LN29" s="99"/>
      <c r="LO29" s="99"/>
      <c r="LP29" s="99"/>
      <c r="LQ29" s="99"/>
      <c r="LR29" s="99"/>
      <c r="LS29" s="99"/>
      <c r="LT29" s="99"/>
      <c r="LU29" s="99"/>
      <c r="LV29" s="99"/>
      <c r="LW29" s="99"/>
      <c r="LX29" s="99"/>
      <c r="LY29" s="99"/>
      <c r="LZ29" s="99"/>
      <c r="MA29" s="99"/>
      <c r="MB29" s="99"/>
      <c r="MC29" s="99"/>
      <c r="MD29" s="99"/>
      <c r="ME29" s="99"/>
      <c r="MF29" s="99"/>
      <c r="MG29" s="99"/>
      <c r="MH29" s="99"/>
      <c r="MI29" s="99"/>
      <c r="MJ29" s="99"/>
      <c r="MK29" s="99"/>
      <c r="ML29" s="99"/>
      <c r="MM29" s="99"/>
      <c r="MN29" s="99"/>
      <c r="MO29" s="99"/>
      <c r="MP29" s="99"/>
      <c r="MQ29" s="99"/>
      <c r="MR29" s="99"/>
      <c r="MS29" s="99"/>
      <c r="MT29" s="99"/>
      <c r="MU29" s="99"/>
      <c r="MV29" s="99"/>
      <c r="MW29" s="99"/>
      <c r="MX29" s="99"/>
      <c r="MY29" s="99"/>
      <c r="MZ29" s="99"/>
      <c r="NA29" s="99"/>
      <c r="NB29" s="99"/>
      <c r="NC29" s="99"/>
      <c r="ND29" s="99"/>
      <c r="NE29" s="99"/>
      <c r="NF29" s="99"/>
      <c r="NG29" s="99"/>
      <c r="NH29" s="99"/>
      <c r="NI29" s="99"/>
      <c r="NJ29" s="99"/>
      <c r="NK29" s="99"/>
      <c r="NL29" s="99"/>
      <c r="NM29" s="99"/>
      <c r="NN29" s="99"/>
      <c r="NO29" s="99"/>
      <c r="NP29" s="99"/>
      <c r="NQ29" s="99"/>
      <c r="NR29" s="99"/>
      <c r="NS29" s="99"/>
      <c r="NT29" s="99"/>
      <c r="NU29" s="99"/>
      <c r="NV29" s="99"/>
      <c r="NW29" s="99"/>
      <c r="NX29" s="99"/>
      <c r="NY29" s="99"/>
      <c r="NZ29" s="99"/>
      <c r="OA29" s="99"/>
      <c r="OB29" s="99"/>
      <c r="OC29" s="99"/>
      <c r="OD29" s="99"/>
      <c r="OE29" s="99"/>
      <c r="OF29" s="99"/>
      <c r="OG29" s="99"/>
      <c r="OH29" s="99"/>
      <c r="OI29" s="99"/>
      <c r="OJ29" s="99"/>
      <c r="OK29" s="99"/>
      <c r="OL29" s="99"/>
      <c r="OM29" s="99"/>
      <c r="ON29" s="99"/>
      <c r="OO29" s="99"/>
      <c r="OP29" s="99"/>
      <c r="OQ29" s="99"/>
      <c r="OR29" s="99"/>
      <c r="OS29" s="99"/>
      <c r="OT29" s="99"/>
      <c r="OU29" s="99"/>
      <c r="OV29" s="99"/>
      <c r="OW29" s="99"/>
      <c r="OX29" s="99"/>
      <c r="OY29" s="99"/>
      <c r="OZ29" s="99"/>
      <c r="PA29" s="99"/>
      <c r="PB29" s="99"/>
      <c r="PC29" s="99"/>
      <c r="PD29" s="99"/>
      <c r="PE29" s="99"/>
      <c r="PF29" s="99"/>
      <c r="PG29" s="99"/>
      <c r="PH29" s="99"/>
      <c r="PI29" s="99"/>
      <c r="PJ29" s="99"/>
      <c r="PK29" s="99"/>
      <c r="PL29" s="99"/>
      <c r="PM29" s="99"/>
      <c r="PN29" s="99"/>
      <c r="PO29" s="99"/>
      <c r="PP29" s="99"/>
      <c r="PQ29" s="99"/>
      <c r="PR29" s="99"/>
      <c r="PS29" s="99"/>
      <c r="PT29" s="99"/>
      <c r="PU29" s="99"/>
      <c r="PV29" s="99"/>
      <c r="PW29" s="99"/>
      <c r="PX29" s="99"/>
      <c r="PY29" s="99"/>
      <c r="PZ29" s="99"/>
      <c r="QA29" s="99"/>
      <c r="QB29" s="99"/>
      <c r="QC29" s="99"/>
      <c r="QD29" s="99"/>
      <c r="QE29" s="99"/>
      <c r="QF29" s="99"/>
      <c r="QG29" s="99"/>
      <c r="QH29" s="99"/>
      <c r="QI29" s="99"/>
      <c r="QJ29" s="99"/>
      <c r="QK29" s="99"/>
      <c r="QL29" s="99"/>
      <c r="QM29" s="99"/>
      <c r="QN29" s="99"/>
      <c r="QO29" s="99"/>
      <c r="QP29" s="99"/>
      <c r="QQ29" s="99"/>
      <c r="QR29" s="99"/>
      <c r="QS29" s="99"/>
      <c r="QT29" s="99"/>
      <c r="QU29" s="99"/>
      <c r="QV29" s="99"/>
      <c r="QW29" s="99"/>
      <c r="QX29" s="99"/>
      <c r="QY29" s="99"/>
      <c r="QZ29" s="99"/>
      <c r="RA29" s="99"/>
      <c r="RB29" s="99"/>
      <c r="RC29" s="99"/>
      <c r="RD29" s="99"/>
      <c r="RE29" s="99"/>
      <c r="RF29" s="99"/>
      <c r="RG29" s="99"/>
      <c r="RH29" s="99"/>
      <c r="RI29" s="99"/>
      <c r="RJ29" s="99"/>
      <c r="RK29" s="99"/>
      <c r="RL29" s="99"/>
      <c r="RM29" s="99"/>
      <c r="RN29" s="99"/>
    </row>
    <row r="30" spans="1:482" s="60" customFormat="1" ht="11.25" customHeight="1" x14ac:dyDescent="0.2">
      <c r="A30" s="122" t="s">
        <v>762</v>
      </c>
      <c r="B30" s="175" t="s">
        <v>763</v>
      </c>
      <c r="C30" s="175"/>
      <c r="D30" s="115">
        <f t="shared" si="73"/>
        <v>908715.35</v>
      </c>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v>99594.75</v>
      </c>
      <c r="AV30" s="114"/>
      <c r="AW30" s="114"/>
      <c r="AX30" s="114"/>
      <c r="AY30" s="114"/>
      <c r="AZ30" s="114"/>
      <c r="BA30" s="114">
        <v>81928.2</v>
      </c>
      <c r="BB30" s="114"/>
      <c r="BC30" s="114"/>
      <c r="BD30" s="114"/>
      <c r="BE30" s="114"/>
      <c r="BF30" s="114"/>
      <c r="BG30" s="114"/>
      <c r="BH30" s="114"/>
      <c r="BI30" s="114"/>
      <c r="BJ30" s="114"/>
      <c r="BK30" s="114" t="s">
        <v>930</v>
      </c>
      <c r="BL30" s="99"/>
      <c r="BM30" s="99"/>
      <c r="BN30" s="99"/>
      <c r="BO30" s="99"/>
      <c r="BP30" s="99"/>
      <c r="BQ30" s="99"/>
      <c r="BR30" s="99"/>
      <c r="BS30" s="99"/>
      <c r="BT30" s="99"/>
      <c r="BU30" s="99"/>
      <c r="BV30" s="99"/>
      <c r="BW30" s="99"/>
      <c r="BX30" s="99"/>
      <c r="BY30" s="99"/>
      <c r="BZ30" s="99"/>
      <c r="CA30" s="99"/>
      <c r="CB30" s="99"/>
      <c r="CC30" s="99"/>
      <c r="CD30" s="99">
        <v>39481.5</v>
      </c>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v>97715.3</v>
      </c>
      <c r="DM30" s="99">
        <v>91887.6</v>
      </c>
      <c r="DN30" s="99">
        <v>195817.5</v>
      </c>
      <c r="DO30" s="99">
        <v>136653.5</v>
      </c>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c r="IR30" s="99"/>
      <c r="IS30" s="99"/>
      <c r="IT30" s="99"/>
      <c r="IU30" s="99"/>
      <c r="IV30" s="99"/>
      <c r="IW30" s="99"/>
      <c r="IX30" s="99"/>
      <c r="IY30" s="99"/>
      <c r="IZ30" s="99"/>
      <c r="JA30" s="99"/>
      <c r="JB30" s="99"/>
      <c r="JC30" s="99"/>
      <c r="JD30" s="99"/>
      <c r="JE30" s="99"/>
      <c r="JF30" s="99"/>
      <c r="JG30" s="99"/>
      <c r="JH30" s="99"/>
      <c r="JI30" s="99"/>
      <c r="JJ30" s="99"/>
      <c r="JK30" s="99"/>
      <c r="JL30" s="99"/>
      <c r="JM30" s="99"/>
      <c r="JN30" s="99"/>
      <c r="JO30" s="99"/>
      <c r="JP30" s="99"/>
      <c r="JQ30" s="99"/>
      <c r="JR30" s="99"/>
      <c r="JS30" s="99"/>
      <c r="JT30" s="99"/>
      <c r="JU30" s="99"/>
      <c r="JV30" s="99"/>
      <c r="JW30" s="99"/>
      <c r="JX30" s="99"/>
      <c r="JY30" s="99"/>
      <c r="JZ30" s="99"/>
      <c r="KA30" s="99"/>
      <c r="KB30" s="99"/>
      <c r="KC30" s="99"/>
      <c r="KD30" s="99"/>
      <c r="KE30" s="99"/>
      <c r="KF30" s="99"/>
      <c r="KG30" s="99"/>
      <c r="KH30" s="99"/>
      <c r="KI30" s="99"/>
      <c r="KJ30" s="99"/>
      <c r="KK30" s="99"/>
      <c r="KL30" s="99"/>
      <c r="KM30" s="99"/>
      <c r="KN30" s="99"/>
      <c r="KO30" s="99"/>
      <c r="KP30" s="99"/>
      <c r="KQ30" s="99"/>
      <c r="KR30" s="99"/>
      <c r="KS30" s="99"/>
      <c r="KT30" s="99"/>
      <c r="KU30" s="99"/>
      <c r="KV30" s="99"/>
      <c r="KW30" s="99"/>
      <c r="KX30" s="99"/>
      <c r="KY30" s="99"/>
      <c r="KZ30" s="99"/>
      <c r="LA30" s="99"/>
      <c r="LB30" s="99"/>
      <c r="LC30" s="99"/>
      <c r="LD30" s="99"/>
      <c r="LE30" s="99"/>
      <c r="LF30" s="99"/>
      <c r="LG30" s="99"/>
      <c r="LH30" s="99"/>
      <c r="LI30" s="99"/>
      <c r="LJ30" s="99"/>
      <c r="LK30" s="99"/>
      <c r="LL30" s="99"/>
      <c r="LM30" s="99"/>
      <c r="LN30" s="99"/>
      <c r="LO30" s="99"/>
      <c r="LP30" s="99"/>
      <c r="LQ30" s="99"/>
      <c r="LR30" s="99"/>
      <c r="LS30" s="99"/>
      <c r="LT30" s="99">
        <v>165637</v>
      </c>
      <c r="LU30" s="99"/>
      <c r="LV30" s="99"/>
      <c r="LW30" s="99"/>
      <c r="LX30" s="99"/>
      <c r="LY30" s="99"/>
      <c r="LZ30" s="99"/>
      <c r="MA30" s="99"/>
      <c r="MB30" s="99"/>
      <c r="MC30" s="99"/>
      <c r="MD30" s="99"/>
      <c r="ME30" s="99"/>
      <c r="MF30" s="99"/>
      <c r="MG30" s="99"/>
      <c r="MH30" s="99"/>
      <c r="MI30" s="99"/>
      <c r="MJ30" s="99"/>
      <c r="MK30" s="99"/>
      <c r="ML30" s="99"/>
      <c r="MM30" s="99"/>
      <c r="MN30" s="99"/>
      <c r="MO30" s="99"/>
      <c r="MP30" s="99"/>
      <c r="MQ30" s="99"/>
      <c r="MR30" s="99"/>
      <c r="MS30" s="99"/>
      <c r="MT30" s="99"/>
      <c r="MU30" s="99"/>
      <c r="MV30" s="99"/>
      <c r="MW30" s="99"/>
      <c r="MX30" s="99"/>
      <c r="MY30" s="99"/>
      <c r="MZ30" s="99"/>
      <c r="NA30" s="99"/>
      <c r="NB30" s="99"/>
      <c r="NC30" s="99"/>
      <c r="ND30" s="99"/>
      <c r="NE30" s="99"/>
      <c r="NF30" s="99"/>
      <c r="NG30" s="99"/>
      <c r="NH30" s="99"/>
      <c r="NI30" s="99"/>
      <c r="NJ30" s="99"/>
      <c r="NK30" s="99"/>
      <c r="NL30" s="99"/>
      <c r="NM30" s="99"/>
      <c r="NN30" s="99"/>
      <c r="NO30" s="99"/>
      <c r="NP30" s="99"/>
      <c r="NQ30" s="99"/>
      <c r="NR30" s="99"/>
      <c r="NS30" s="99"/>
      <c r="NT30" s="99"/>
      <c r="NU30" s="99"/>
      <c r="NV30" s="99"/>
      <c r="NW30" s="99"/>
      <c r="NX30" s="99"/>
      <c r="NY30" s="99"/>
      <c r="NZ30" s="99"/>
      <c r="OA30" s="99"/>
      <c r="OB30" s="99"/>
      <c r="OC30" s="99"/>
      <c r="OD30" s="99"/>
      <c r="OE30" s="99"/>
      <c r="OF30" s="99"/>
      <c r="OG30" s="99"/>
      <c r="OH30" s="99"/>
      <c r="OI30" s="99"/>
      <c r="OJ30" s="99"/>
      <c r="OK30" s="99"/>
      <c r="OL30" s="99"/>
      <c r="OM30" s="99"/>
      <c r="ON30" s="99"/>
      <c r="OO30" s="99"/>
      <c r="OP30" s="99"/>
      <c r="OQ30" s="99"/>
      <c r="OR30" s="99"/>
      <c r="OS30" s="99"/>
      <c r="OT30" s="99"/>
      <c r="OU30" s="99"/>
      <c r="OV30" s="99"/>
      <c r="OW30" s="99"/>
      <c r="OX30" s="99"/>
      <c r="OY30" s="99"/>
      <c r="OZ30" s="99"/>
      <c r="PA30" s="99"/>
      <c r="PB30" s="99"/>
      <c r="PC30" s="99"/>
      <c r="PD30" s="99"/>
      <c r="PE30" s="99"/>
      <c r="PF30" s="99"/>
      <c r="PG30" s="99"/>
      <c r="PH30" s="99"/>
      <c r="PI30" s="99"/>
      <c r="PJ30" s="99"/>
      <c r="PK30" s="99"/>
      <c r="PL30" s="99"/>
      <c r="PM30" s="99"/>
      <c r="PN30" s="99"/>
      <c r="PO30" s="99"/>
      <c r="PP30" s="99"/>
      <c r="PQ30" s="99"/>
      <c r="PR30" s="99"/>
      <c r="PS30" s="99"/>
      <c r="PT30" s="99"/>
      <c r="PU30" s="99"/>
      <c r="PV30" s="99"/>
      <c r="PW30" s="99"/>
      <c r="PX30" s="99"/>
      <c r="PY30" s="99"/>
      <c r="PZ30" s="99"/>
      <c r="QA30" s="99"/>
      <c r="QB30" s="99"/>
      <c r="QC30" s="99"/>
      <c r="QD30" s="99"/>
      <c r="QE30" s="99"/>
      <c r="QF30" s="99"/>
      <c r="QG30" s="99"/>
      <c r="QH30" s="99"/>
      <c r="QI30" s="99"/>
      <c r="QJ30" s="99"/>
      <c r="QK30" s="99"/>
      <c r="QL30" s="99"/>
      <c r="QM30" s="99"/>
      <c r="QN30" s="99"/>
      <c r="QO30" s="99"/>
      <c r="QP30" s="99"/>
      <c r="QQ30" s="99"/>
      <c r="QR30" s="99"/>
      <c r="QS30" s="99"/>
      <c r="QT30" s="99"/>
      <c r="QU30" s="99"/>
      <c r="QV30" s="99"/>
      <c r="QW30" s="99"/>
      <c r="QX30" s="99"/>
      <c r="QY30" s="99"/>
      <c r="QZ30" s="99"/>
      <c r="RA30" s="99"/>
      <c r="RB30" s="99"/>
      <c r="RC30" s="99"/>
      <c r="RD30" s="99"/>
      <c r="RE30" s="99"/>
      <c r="RF30" s="99"/>
      <c r="RG30" s="99"/>
      <c r="RH30" s="99"/>
      <c r="RI30" s="99"/>
      <c r="RJ30" s="99"/>
      <c r="RK30" s="99"/>
      <c r="RL30" s="99"/>
      <c r="RM30" s="99"/>
      <c r="RN30" s="99"/>
    </row>
    <row r="31" spans="1:482" s="60" customFormat="1" ht="11.25" customHeight="1" x14ac:dyDescent="0.2">
      <c r="A31" s="122" t="s">
        <v>764</v>
      </c>
      <c r="B31" s="175" t="s">
        <v>765</v>
      </c>
      <c r="C31" s="175"/>
      <c r="D31" s="115">
        <f t="shared" si="73"/>
        <v>471728.4</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t="s">
        <v>766</v>
      </c>
      <c r="AG31" s="114"/>
      <c r="AH31" s="114"/>
      <c r="AI31" s="114"/>
      <c r="AJ31" s="114"/>
      <c r="AK31" s="114"/>
      <c r="AL31" s="114"/>
      <c r="AM31" s="114"/>
      <c r="AN31" s="114"/>
      <c r="AO31" s="114"/>
      <c r="AP31" s="114"/>
      <c r="AQ31" s="114"/>
      <c r="AR31" s="114"/>
      <c r="AS31" s="114"/>
      <c r="AT31" s="114"/>
      <c r="AU31" s="114">
        <v>26189.4</v>
      </c>
      <c r="AV31" s="114"/>
      <c r="AW31" s="114"/>
      <c r="AX31" s="114"/>
      <c r="AY31" s="114"/>
      <c r="AZ31" s="114"/>
      <c r="BA31" s="114">
        <v>72656.7</v>
      </c>
      <c r="BB31" s="114"/>
      <c r="BC31" s="114"/>
      <c r="BD31" s="114"/>
      <c r="BE31" s="114"/>
      <c r="BF31" s="114"/>
      <c r="BG31" s="114"/>
      <c r="BH31" s="114"/>
      <c r="BI31" s="114"/>
      <c r="BJ31" s="114"/>
      <c r="BK31" s="114" t="s">
        <v>931</v>
      </c>
      <c r="BL31" s="99"/>
      <c r="BM31" s="99"/>
      <c r="BN31" s="99"/>
      <c r="BO31" s="99"/>
      <c r="BP31" s="99"/>
      <c r="BQ31" s="99"/>
      <c r="BR31" s="99"/>
      <c r="BS31" s="99"/>
      <c r="BT31" s="99"/>
      <c r="BU31" s="99"/>
      <c r="BV31" s="99"/>
      <c r="BW31" s="99"/>
      <c r="BX31" s="99"/>
      <c r="BY31" s="99"/>
      <c r="BZ31" s="99"/>
      <c r="CA31" s="99"/>
      <c r="CB31" s="99"/>
      <c r="CC31" s="99"/>
      <c r="CD31" s="99">
        <v>55206.400000000001</v>
      </c>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v>81898.399999999994</v>
      </c>
      <c r="DM31" s="99">
        <v>41580.5</v>
      </c>
      <c r="DN31" s="99">
        <v>92556.3</v>
      </c>
      <c r="DO31" s="99">
        <v>45541.7</v>
      </c>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c r="IQ31" s="99"/>
      <c r="IR31" s="99"/>
      <c r="IS31" s="99"/>
      <c r="IT31" s="99"/>
      <c r="IU31" s="99"/>
      <c r="IV31" s="99"/>
      <c r="IW31" s="99"/>
      <c r="IX31" s="99"/>
      <c r="IY31" s="99"/>
      <c r="IZ31" s="99"/>
      <c r="JA31" s="99"/>
      <c r="JB31" s="99"/>
      <c r="JC31" s="99"/>
      <c r="JD31" s="99"/>
      <c r="JE31" s="99"/>
      <c r="JF31" s="99"/>
      <c r="JG31" s="99"/>
      <c r="JH31" s="99"/>
      <c r="JI31" s="99"/>
      <c r="JJ31" s="99"/>
      <c r="JK31" s="99"/>
      <c r="JL31" s="99"/>
      <c r="JM31" s="99"/>
      <c r="JN31" s="99"/>
      <c r="JO31" s="99"/>
      <c r="JP31" s="99"/>
      <c r="JQ31" s="99"/>
      <c r="JR31" s="99"/>
      <c r="JS31" s="99"/>
      <c r="JT31" s="99"/>
      <c r="JU31" s="99"/>
      <c r="JV31" s="99"/>
      <c r="JW31" s="99"/>
      <c r="JX31" s="99"/>
      <c r="JY31" s="99"/>
      <c r="JZ31" s="99"/>
      <c r="KA31" s="99"/>
      <c r="KB31" s="99"/>
      <c r="KC31" s="99"/>
      <c r="KD31" s="99"/>
      <c r="KE31" s="99"/>
      <c r="KF31" s="99"/>
      <c r="KG31" s="99"/>
      <c r="KH31" s="99"/>
      <c r="KI31" s="99"/>
      <c r="KJ31" s="99"/>
      <c r="KK31" s="99"/>
      <c r="KL31" s="99"/>
      <c r="KM31" s="99"/>
      <c r="KN31" s="99"/>
      <c r="KO31" s="99"/>
      <c r="KP31" s="99"/>
      <c r="KQ31" s="99"/>
      <c r="KR31" s="99"/>
      <c r="KS31" s="99"/>
      <c r="KT31" s="99"/>
      <c r="KU31" s="99"/>
      <c r="KV31" s="99"/>
      <c r="KW31" s="99"/>
      <c r="KX31" s="99"/>
      <c r="KY31" s="99"/>
      <c r="KZ31" s="99"/>
      <c r="LA31" s="99"/>
      <c r="LB31" s="99"/>
      <c r="LC31" s="99"/>
      <c r="LD31" s="99"/>
      <c r="LE31" s="99"/>
      <c r="LF31" s="99"/>
      <c r="LG31" s="99"/>
      <c r="LH31" s="99"/>
      <c r="LI31" s="99"/>
      <c r="LJ31" s="99"/>
      <c r="LK31" s="99"/>
      <c r="LL31" s="99"/>
      <c r="LM31" s="99"/>
      <c r="LN31" s="99"/>
      <c r="LO31" s="99"/>
      <c r="LP31" s="99"/>
      <c r="LQ31" s="99"/>
      <c r="LR31" s="99"/>
      <c r="LS31" s="99"/>
      <c r="LT31" s="99">
        <v>56099</v>
      </c>
      <c r="LU31" s="99"/>
      <c r="LV31" s="99"/>
      <c r="LW31" s="99"/>
      <c r="LX31" s="99"/>
      <c r="LY31" s="99"/>
      <c r="LZ31" s="99"/>
      <c r="MA31" s="99"/>
      <c r="MB31" s="99"/>
      <c r="MC31" s="99"/>
      <c r="MD31" s="99"/>
      <c r="ME31" s="99"/>
      <c r="MF31" s="99"/>
      <c r="MG31" s="99"/>
      <c r="MH31" s="99"/>
      <c r="MI31" s="99"/>
      <c r="MJ31" s="99"/>
      <c r="MK31" s="99"/>
      <c r="ML31" s="99"/>
      <c r="MM31" s="99"/>
      <c r="MN31" s="99"/>
      <c r="MO31" s="99"/>
      <c r="MP31" s="99"/>
      <c r="MQ31" s="99"/>
      <c r="MR31" s="99"/>
      <c r="MS31" s="99"/>
      <c r="MT31" s="99"/>
      <c r="MU31" s="99"/>
      <c r="MV31" s="99"/>
      <c r="MW31" s="99"/>
      <c r="MX31" s="99"/>
      <c r="MY31" s="99"/>
      <c r="MZ31" s="99"/>
      <c r="NA31" s="99"/>
      <c r="NB31" s="99"/>
      <c r="NC31" s="99"/>
      <c r="ND31" s="99"/>
      <c r="NE31" s="99"/>
      <c r="NF31" s="99"/>
      <c r="NG31" s="99"/>
      <c r="NH31" s="99"/>
      <c r="NI31" s="99"/>
      <c r="NJ31" s="99"/>
      <c r="NK31" s="99"/>
      <c r="NL31" s="99"/>
      <c r="NM31" s="99"/>
      <c r="NN31" s="99"/>
      <c r="NO31" s="99"/>
      <c r="NP31" s="99"/>
      <c r="NQ31" s="99"/>
      <c r="NR31" s="99"/>
      <c r="NS31" s="99"/>
      <c r="NT31" s="99"/>
      <c r="NU31" s="99"/>
      <c r="NV31" s="99"/>
      <c r="NW31" s="99"/>
      <c r="NX31" s="99"/>
      <c r="NY31" s="99"/>
      <c r="NZ31" s="99"/>
      <c r="OA31" s="99"/>
      <c r="OB31" s="99"/>
      <c r="OC31" s="99"/>
      <c r="OD31" s="99"/>
      <c r="OE31" s="99"/>
      <c r="OF31" s="99"/>
      <c r="OG31" s="99"/>
      <c r="OH31" s="99"/>
      <c r="OI31" s="99"/>
      <c r="OJ31" s="99"/>
      <c r="OK31" s="99"/>
      <c r="OL31" s="99"/>
      <c r="OM31" s="99"/>
      <c r="ON31" s="99"/>
      <c r="OO31" s="99"/>
      <c r="OP31" s="99"/>
      <c r="OQ31" s="99"/>
      <c r="OR31" s="99"/>
      <c r="OS31" s="99"/>
      <c r="OT31" s="99"/>
      <c r="OU31" s="99"/>
      <c r="OV31" s="99"/>
      <c r="OW31" s="99"/>
      <c r="OX31" s="99"/>
      <c r="OY31" s="99"/>
      <c r="OZ31" s="99"/>
      <c r="PA31" s="99"/>
      <c r="PB31" s="99"/>
      <c r="PC31" s="99"/>
      <c r="PD31" s="99"/>
      <c r="PE31" s="99"/>
      <c r="PF31" s="99"/>
      <c r="PG31" s="99"/>
      <c r="PH31" s="99"/>
      <c r="PI31" s="99"/>
      <c r="PJ31" s="99"/>
      <c r="PK31" s="99"/>
      <c r="PL31" s="99"/>
      <c r="PM31" s="99"/>
      <c r="PN31" s="99"/>
      <c r="PO31" s="99"/>
      <c r="PP31" s="99"/>
      <c r="PQ31" s="99"/>
      <c r="PR31" s="99"/>
      <c r="PS31" s="99"/>
      <c r="PT31" s="99"/>
      <c r="PU31" s="99"/>
      <c r="PV31" s="99"/>
      <c r="PW31" s="99"/>
      <c r="PX31" s="99"/>
      <c r="PY31" s="99"/>
      <c r="PZ31" s="99"/>
      <c r="QA31" s="99"/>
      <c r="QB31" s="99"/>
      <c r="QC31" s="99"/>
      <c r="QD31" s="99"/>
      <c r="QE31" s="99"/>
      <c r="QF31" s="99"/>
      <c r="QG31" s="99"/>
      <c r="QH31" s="99"/>
      <c r="QI31" s="99"/>
      <c r="QJ31" s="99"/>
      <c r="QK31" s="99"/>
      <c r="QL31" s="99"/>
      <c r="QM31" s="99"/>
      <c r="QN31" s="99"/>
      <c r="QO31" s="99"/>
      <c r="QP31" s="99"/>
      <c r="QQ31" s="99"/>
      <c r="QR31" s="99"/>
      <c r="QS31" s="99"/>
      <c r="QT31" s="99"/>
      <c r="QU31" s="99"/>
      <c r="QV31" s="99"/>
      <c r="QW31" s="99"/>
      <c r="QX31" s="99"/>
      <c r="QY31" s="99"/>
      <c r="QZ31" s="99"/>
      <c r="RA31" s="99"/>
      <c r="RB31" s="99"/>
      <c r="RC31" s="99"/>
      <c r="RD31" s="99"/>
      <c r="RE31" s="99"/>
      <c r="RF31" s="99"/>
      <c r="RG31" s="99"/>
      <c r="RH31" s="99"/>
      <c r="RI31" s="99"/>
      <c r="RJ31" s="99"/>
      <c r="RK31" s="99"/>
      <c r="RL31" s="99"/>
      <c r="RM31" s="99"/>
      <c r="RN31" s="99"/>
    </row>
    <row r="32" spans="1:482" s="60" customFormat="1" ht="11.25" customHeight="1" x14ac:dyDescent="0.2">
      <c r="A32" s="122" t="s">
        <v>767</v>
      </c>
      <c r="B32" s="175" t="s">
        <v>768</v>
      </c>
      <c r="C32" s="175"/>
      <c r="D32" s="115">
        <f t="shared" si="73"/>
        <v>0</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t="s">
        <v>912</v>
      </c>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c r="IQ32" s="99"/>
      <c r="IR32" s="99"/>
      <c r="IS32" s="99"/>
      <c r="IT32" s="99"/>
      <c r="IU32" s="99"/>
      <c r="IV32" s="99"/>
      <c r="IW32" s="99"/>
      <c r="IX32" s="99"/>
      <c r="IY32" s="99"/>
      <c r="IZ32" s="99"/>
      <c r="JA32" s="99"/>
      <c r="JB32" s="99"/>
      <c r="JC32" s="99"/>
      <c r="JD32" s="99"/>
      <c r="JE32" s="99"/>
      <c r="JF32" s="99"/>
      <c r="JG32" s="99"/>
      <c r="JH32" s="99"/>
      <c r="JI32" s="99"/>
      <c r="JJ32" s="99"/>
      <c r="JK32" s="99"/>
      <c r="JL32" s="99"/>
      <c r="JM32" s="99"/>
      <c r="JN32" s="99"/>
      <c r="JO32" s="99"/>
      <c r="JP32" s="99"/>
      <c r="JQ32" s="99"/>
      <c r="JR32" s="99"/>
      <c r="JS32" s="99"/>
      <c r="JT32" s="99"/>
      <c r="JU32" s="99"/>
      <c r="JV32" s="99"/>
      <c r="JW32" s="99"/>
      <c r="JX32" s="99"/>
      <c r="JY32" s="99"/>
      <c r="JZ32" s="99"/>
      <c r="KA32" s="99"/>
      <c r="KB32" s="99"/>
      <c r="KC32" s="99"/>
      <c r="KD32" s="99"/>
      <c r="KE32" s="99"/>
      <c r="KF32" s="99"/>
      <c r="KG32" s="99"/>
      <c r="KH32" s="99"/>
      <c r="KI32" s="99"/>
      <c r="KJ32" s="99"/>
      <c r="KK32" s="99"/>
      <c r="KL32" s="99"/>
      <c r="KM32" s="99"/>
      <c r="KN32" s="99"/>
      <c r="KO32" s="99"/>
      <c r="KP32" s="99"/>
      <c r="KQ32" s="99"/>
      <c r="KR32" s="99"/>
      <c r="KS32" s="99"/>
      <c r="KT32" s="99"/>
      <c r="KU32" s="99"/>
      <c r="KV32" s="99"/>
      <c r="KW32" s="99"/>
      <c r="KX32" s="99"/>
      <c r="KY32" s="99"/>
      <c r="KZ32" s="99"/>
      <c r="LA32" s="99"/>
      <c r="LB32" s="99"/>
      <c r="LC32" s="99"/>
      <c r="LD32" s="99"/>
      <c r="LE32" s="99"/>
      <c r="LF32" s="99"/>
      <c r="LG32" s="99"/>
      <c r="LH32" s="99"/>
      <c r="LI32" s="99"/>
      <c r="LJ32" s="99"/>
      <c r="LK32" s="99"/>
      <c r="LL32" s="99"/>
      <c r="LM32" s="99"/>
      <c r="LN32" s="99"/>
      <c r="LO32" s="99"/>
      <c r="LP32" s="99"/>
      <c r="LQ32" s="99"/>
      <c r="LR32" s="99"/>
      <c r="LS32" s="99"/>
      <c r="LT32" s="99"/>
      <c r="LU32" s="99"/>
      <c r="LV32" s="99"/>
      <c r="LW32" s="99"/>
      <c r="LX32" s="99"/>
      <c r="LY32" s="99"/>
      <c r="LZ32" s="99"/>
      <c r="MA32" s="99"/>
      <c r="MB32" s="99"/>
      <c r="MC32" s="99"/>
      <c r="MD32" s="99"/>
      <c r="ME32" s="99"/>
      <c r="MF32" s="99"/>
      <c r="MG32" s="99"/>
      <c r="MH32" s="99"/>
      <c r="MI32" s="99"/>
      <c r="MJ32" s="99"/>
      <c r="MK32" s="99"/>
      <c r="ML32" s="99"/>
      <c r="MM32" s="99"/>
      <c r="MN32" s="99"/>
      <c r="MO32" s="99"/>
      <c r="MP32" s="99"/>
      <c r="MQ32" s="99"/>
      <c r="MR32" s="99"/>
      <c r="MS32" s="99"/>
      <c r="MT32" s="99"/>
      <c r="MU32" s="99"/>
      <c r="MV32" s="99"/>
      <c r="MW32" s="99"/>
      <c r="MX32" s="99"/>
      <c r="MY32" s="99"/>
      <c r="MZ32" s="99"/>
      <c r="NA32" s="99"/>
      <c r="NB32" s="99"/>
      <c r="NC32" s="99"/>
      <c r="ND32" s="99"/>
      <c r="NE32" s="99"/>
      <c r="NF32" s="99"/>
      <c r="NG32" s="99"/>
      <c r="NH32" s="99"/>
      <c r="NI32" s="99"/>
      <c r="NJ32" s="99"/>
      <c r="NK32" s="99"/>
      <c r="NL32" s="99"/>
      <c r="NM32" s="99"/>
      <c r="NN32" s="99"/>
      <c r="NO32" s="99"/>
      <c r="NP32" s="99"/>
      <c r="NQ32" s="99"/>
      <c r="NR32" s="99"/>
      <c r="NS32" s="99"/>
      <c r="NT32" s="99"/>
      <c r="NU32" s="99"/>
      <c r="NV32" s="99"/>
      <c r="NW32" s="99"/>
      <c r="NX32" s="99"/>
      <c r="NY32" s="99"/>
      <c r="NZ32" s="99"/>
      <c r="OA32" s="99"/>
      <c r="OB32" s="99"/>
      <c r="OC32" s="99"/>
      <c r="OD32" s="99"/>
      <c r="OE32" s="99"/>
      <c r="OF32" s="99"/>
      <c r="OG32" s="99"/>
      <c r="OH32" s="99"/>
      <c r="OI32" s="99"/>
      <c r="OJ32" s="99"/>
      <c r="OK32" s="99"/>
      <c r="OL32" s="99"/>
      <c r="OM32" s="99"/>
      <c r="ON32" s="99"/>
      <c r="OO32" s="99"/>
      <c r="OP32" s="99"/>
      <c r="OQ32" s="99"/>
      <c r="OR32" s="99"/>
      <c r="OS32" s="99"/>
      <c r="OT32" s="99"/>
      <c r="OU32" s="99"/>
      <c r="OV32" s="99"/>
      <c r="OW32" s="99"/>
      <c r="OX32" s="99"/>
      <c r="OY32" s="99"/>
      <c r="OZ32" s="99"/>
      <c r="PA32" s="99"/>
      <c r="PB32" s="99"/>
      <c r="PC32" s="99"/>
      <c r="PD32" s="99"/>
      <c r="PE32" s="99"/>
      <c r="PF32" s="99"/>
      <c r="PG32" s="99"/>
      <c r="PH32" s="99"/>
      <c r="PI32" s="99"/>
      <c r="PJ32" s="99"/>
      <c r="PK32" s="99"/>
      <c r="PL32" s="99"/>
      <c r="PM32" s="99"/>
      <c r="PN32" s="99"/>
      <c r="PO32" s="99"/>
      <c r="PP32" s="99"/>
      <c r="PQ32" s="99"/>
      <c r="PR32" s="99"/>
      <c r="PS32" s="99"/>
      <c r="PT32" s="99"/>
      <c r="PU32" s="99"/>
      <c r="PV32" s="99"/>
      <c r="PW32" s="99"/>
      <c r="PX32" s="99"/>
      <c r="PY32" s="99"/>
      <c r="PZ32" s="99"/>
      <c r="QA32" s="99"/>
      <c r="QB32" s="99"/>
      <c r="QC32" s="99"/>
      <c r="QD32" s="99"/>
      <c r="QE32" s="99"/>
      <c r="QF32" s="99"/>
      <c r="QG32" s="99"/>
      <c r="QH32" s="99"/>
      <c r="QI32" s="99"/>
      <c r="QJ32" s="99"/>
      <c r="QK32" s="99"/>
      <c r="QL32" s="99"/>
      <c r="QM32" s="99"/>
      <c r="QN32" s="99"/>
      <c r="QO32" s="99"/>
      <c r="QP32" s="99"/>
      <c r="QQ32" s="99"/>
      <c r="QR32" s="99"/>
      <c r="QS32" s="99"/>
      <c r="QT32" s="99"/>
      <c r="QU32" s="99"/>
      <c r="QV32" s="99"/>
      <c r="QW32" s="99"/>
      <c r="QX32" s="99"/>
      <c r="QY32" s="99"/>
      <c r="QZ32" s="99"/>
      <c r="RA32" s="99"/>
      <c r="RB32" s="99"/>
      <c r="RC32" s="99"/>
      <c r="RD32" s="99"/>
      <c r="RE32" s="99"/>
      <c r="RF32" s="99"/>
      <c r="RG32" s="99"/>
      <c r="RH32" s="99"/>
      <c r="RI32" s="99"/>
      <c r="RJ32" s="99"/>
      <c r="RK32" s="99"/>
      <c r="RL32" s="99"/>
      <c r="RM32" s="99"/>
      <c r="RN32" s="99"/>
    </row>
    <row r="33" spans="1:482" s="60" customFormat="1" ht="11.25" customHeight="1" x14ac:dyDescent="0.2">
      <c r="A33" s="122" t="s">
        <v>769</v>
      </c>
      <c r="B33" s="175" t="s">
        <v>770</v>
      </c>
      <c r="C33" s="175"/>
      <c r="D33" s="115">
        <f t="shared" si="73"/>
        <v>647237.15999999992</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v>133808.85999999999</v>
      </c>
      <c r="AV33" s="114"/>
      <c r="AW33" s="114"/>
      <c r="AX33" s="114"/>
      <c r="AY33" s="114"/>
      <c r="AZ33" s="114"/>
      <c r="BA33" s="114"/>
      <c r="BB33" s="114"/>
      <c r="BC33" s="114"/>
      <c r="BD33" s="114"/>
      <c r="BE33" s="114"/>
      <c r="BF33" s="114"/>
      <c r="BG33" s="114"/>
      <c r="BH33" s="114"/>
      <c r="BI33" s="114"/>
      <c r="BJ33" s="114"/>
      <c r="BK33" s="114" t="s">
        <v>932</v>
      </c>
      <c r="BL33" s="99"/>
      <c r="BM33" s="99"/>
      <c r="BN33" s="99"/>
      <c r="BO33" s="99"/>
      <c r="BP33" s="99"/>
      <c r="BQ33" s="99"/>
      <c r="BR33" s="99"/>
      <c r="BS33" s="99"/>
      <c r="BT33" s="99"/>
      <c r="BU33" s="99"/>
      <c r="BV33" s="99"/>
      <c r="BW33" s="99"/>
      <c r="BX33" s="99"/>
      <c r="BY33" s="99"/>
      <c r="BZ33" s="99"/>
      <c r="CA33" s="99"/>
      <c r="CB33" s="99"/>
      <c r="CC33" s="99"/>
      <c r="CD33" s="99">
        <v>6580.3</v>
      </c>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v>39086.1</v>
      </c>
      <c r="DM33" s="99">
        <v>39380.400000000001</v>
      </c>
      <c r="DN33" s="99">
        <v>104240</v>
      </c>
      <c r="DO33" s="99">
        <v>48079.5</v>
      </c>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c r="IU33" s="99"/>
      <c r="IV33" s="99"/>
      <c r="IW33" s="99"/>
      <c r="IX33" s="99"/>
      <c r="IY33" s="99"/>
      <c r="IZ33" s="99"/>
      <c r="JA33" s="99"/>
      <c r="JB33" s="99"/>
      <c r="JC33" s="99"/>
      <c r="JD33" s="99"/>
      <c r="JE33" s="99"/>
      <c r="JF33" s="99"/>
      <c r="JG33" s="99"/>
      <c r="JH33" s="99"/>
      <c r="JI33" s="99"/>
      <c r="JJ33" s="99"/>
      <c r="JK33" s="99"/>
      <c r="JL33" s="99"/>
      <c r="JM33" s="99"/>
      <c r="JN33" s="99"/>
      <c r="JO33" s="99"/>
      <c r="JP33" s="99"/>
      <c r="JQ33" s="99"/>
      <c r="JR33" s="99"/>
      <c r="JS33" s="99"/>
      <c r="JT33" s="99"/>
      <c r="JU33" s="99"/>
      <c r="JV33" s="99"/>
      <c r="JW33" s="99"/>
      <c r="JX33" s="99"/>
      <c r="JY33" s="99"/>
      <c r="JZ33" s="99"/>
      <c r="KA33" s="99"/>
      <c r="KB33" s="99"/>
      <c r="KC33" s="99"/>
      <c r="KD33" s="99"/>
      <c r="KE33" s="99"/>
      <c r="KF33" s="99"/>
      <c r="KG33" s="99"/>
      <c r="KH33" s="99"/>
      <c r="KI33" s="99"/>
      <c r="KJ33" s="99"/>
      <c r="KK33" s="99"/>
      <c r="KL33" s="99"/>
      <c r="KM33" s="99"/>
      <c r="KN33" s="99"/>
      <c r="KO33" s="99"/>
      <c r="KP33" s="99"/>
      <c r="KQ33" s="99"/>
      <c r="KR33" s="99"/>
      <c r="KS33" s="99"/>
      <c r="KT33" s="99"/>
      <c r="KU33" s="99"/>
      <c r="KV33" s="99"/>
      <c r="KW33" s="99"/>
      <c r="KX33" s="99"/>
      <c r="KY33" s="99"/>
      <c r="KZ33" s="99"/>
      <c r="LA33" s="99"/>
      <c r="LB33" s="99"/>
      <c r="LC33" s="99"/>
      <c r="LD33" s="99"/>
      <c r="LE33" s="99"/>
      <c r="LF33" s="99"/>
      <c r="LG33" s="99"/>
      <c r="LH33" s="99"/>
      <c r="LI33" s="99"/>
      <c r="LJ33" s="99"/>
      <c r="LK33" s="99"/>
      <c r="LL33" s="99"/>
      <c r="LM33" s="99"/>
      <c r="LN33" s="99"/>
      <c r="LO33" s="99"/>
      <c r="LP33" s="99"/>
      <c r="LQ33" s="99"/>
      <c r="LR33" s="99"/>
      <c r="LS33" s="99"/>
      <c r="LT33" s="99">
        <v>276062</v>
      </c>
      <c r="LU33" s="99"/>
      <c r="LV33" s="99"/>
      <c r="LW33" s="99"/>
      <c r="LX33" s="99"/>
      <c r="LY33" s="99"/>
      <c r="LZ33" s="99"/>
      <c r="MA33" s="99"/>
      <c r="MB33" s="99"/>
      <c r="MC33" s="99"/>
      <c r="MD33" s="99"/>
      <c r="ME33" s="99"/>
      <c r="MF33" s="99"/>
      <c r="MG33" s="99"/>
      <c r="MH33" s="99"/>
      <c r="MI33" s="99"/>
      <c r="MJ33" s="99"/>
      <c r="MK33" s="99"/>
      <c r="ML33" s="99"/>
      <c r="MM33" s="99"/>
      <c r="MN33" s="99"/>
      <c r="MO33" s="99"/>
      <c r="MP33" s="99"/>
      <c r="MQ33" s="99"/>
      <c r="MR33" s="99"/>
      <c r="MS33" s="99"/>
      <c r="MT33" s="99"/>
      <c r="MU33" s="99"/>
      <c r="MV33" s="99"/>
      <c r="MW33" s="99"/>
      <c r="MX33" s="99"/>
      <c r="MY33" s="99"/>
      <c r="MZ33" s="99"/>
      <c r="NA33" s="99"/>
      <c r="NB33" s="99"/>
      <c r="NC33" s="99"/>
      <c r="ND33" s="99"/>
      <c r="NE33" s="99"/>
      <c r="NF33" s="99"/>
      <c r="NG33" s="99"/>
      <c r="NH33" s="99"/>
      <c r="NI33" s="99"/>
      <c r="NJ33" s="99"/>
      <c r="NK33" s="99"/>
      <c r="NL33" s="99"/>
      <c r="NM33" s="99"/>
      <c r="NN33" s="99"/>
      <c r="NO33" s="99"/>
      <c r="NP33" s="99"/>
      <c r="NQ33" s="99"/>
      <c r="NR33" s="99"/>
      <c r="NS33" s="99"/>
      <c r="NT33" s="99"/>
      <c r="NU33" s="99"/>
      <c r="NV33" s="99"/>
      <c r="NW33" s="99"/>
      <c r="NX33" s="99"/>
      <c r="NY33" s="99"/>
      <c r="NZ33" s="99"/>
      <c r="OA33" s="99"/>
      <c r="OB33" s="99"/>
      <c r="OC33" s="99"/>
      <c r="OD33" s="99"/>
      <c r="OE33" s="99"/>
      <c r="OF33" s="99"/>
      <c r="OG33" s="99"/>
      <c r="OH33" s="99"/>
      <c r="OI33" s="99"/>
      <c r="OJ33" s="99"/>
      <c r="OK33" s="99"/>
      <c r="OL33" s="99"/>
      <c r="OM33" s="99"/>
      <c r="ON33" s="99"/>
      <c r="OO33" s="99"/>
      <c r="OP33" s="99"/>
      <c r="OQ33" s="99"/>
      <c r="OR33" s="99"/>
      <c r="OS33" s="99"/>
      <c r="OT33" s="99"/>
      <c r="OU33" s="99"/>
      <c r="OV33" s="99"/>
      <c r="OW33" s="99"/>
      <c r="OX33" s="99"/>
      <c r="OY33" s="99"/>
      <c r="OZ33" s="99"/>
      <c r="PA33" s="99"/>
      <c r="PB33" s="99"/>
      <c r="PC33" s="99"/>
      <c r="PD33" s="99"/>
      <c r="PE33" s="99"/>
      <c r="PF33" s="99"/>
      <c r="PG33" s="99"/>
      <c r="PH33" s="99"/>
      <c r="PI33" s="99"/>
      <c r="PJ33" s="99"/>
      <c r="PK33" s="99"/>
      <c r="PL33" s="99"/>
      <c r="PM33" s="99"/>
      <c r="PN33" s="99"/>
      <c r="PO33" s="99"/>
      <c r="PP33" s="99"/>
      <c r="PQ33" s="99"/>
      <c r="PR33" s="99"/>
      <c r="PS33" s="99"/>
      <c r="PT33" s="99"/>
      <c r="PU33" s="99"/>
      <c r="PV33" s="99"/>
      <c r="PW33" s="99"/>
      <c r="PX33" s="99"/>
      <c r="PY33" s="99"/>
      <c r="PZ33" s="99"/>
      <c r="QA33" s="99"/>
      <c r="QB33" s="99"/>
      <c r="QC33" s="99"/>
      <c r="QD33" s="99"/>
      <c r="QE33" s="99"/>
      <c r="QF33" s="99"/>
      <c r="QG33" s="99"/>
      <c r="QH33" s="99"/>
      <c r="QI33" s="99"/>
      <c r="QJ33" s="99"/>
      <c r="QK33" s="99"/>
      <c r="QL33" s="99"/>
      <c r="QM33" s="99"/>
      <c r="QN33" s="99"/>
      <c r="QO33" s="99"/>
      <c r="QP33" s="99"/>
      <c r="QQ33" s="99"/>
      <c r="QR33" s="99"/>
      <c r="QS33" s="99"/>
      <c r="QT33" s="99"/>
      <c r="QU33" s="99"/>
      <c r="QV33" s="99"/>
      <c r="QW33" s="99"/>
      <c r="QX33" s="99"/>
      <c r="QY33" s="99"/>
      <c r="QZ33" s="99"/>
      <c r="RA33" s="99"/>
      <c r="RB33" s="99"/>
      <c r="RC33" s="99"/>
      <c r="RD33" s="99"/>
      <c r="RE33" s="99"/>
      <c r="RF33" s="99"/>
      <c r="RG33" s="99"/>
      <c r="RH33" s="99"/>
      <c r="RI33" s="99"/>
      <c r="RJ33" s="99"/>
      <c r="RK33" s="99"/>
      <c r="RL33" s="99"/>
      <c r="RM33" s="99"/>
      <c r="RN33" s="99"/>
    </row>
    <row r="34" spans="1:482" s="60" customFormat="1" ht="11.25" customHeight="1" x14ac:dyDescent="0.2">
      <c r="A34" s="122" t="s">
        <v>771</v>
      </c>
      <c r="B34" s="175" t="s">
        <v>772</v>
      </c>
      <c r="C34" s="175"/>
      <c r="D34" s="115">
        <f t="shared" si="73"/>
        <v>0</v>
      </c>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t="s">
        <v>912</v>
      </c>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c r="IU34" s="99"/>
      <c r="IV34" s="99"/>
      <c r="IW34" s="99"/>
      <c r="IX34" s="99"/>
      <c r="IY34" s="99"/>
      <c r="IZ34" s="99"/>
      <c r="JA34" s="99"/>
      <c r="JB34" s="99"/>
      <c r="JC34" s="99"/>
      <c r="JD34" s="99"/>
      <c r="JE34" s="99"/>
      <c r="JF34" s="99"/>
      <c r="JG34" s="99"/>
      <c r="JH34" s="99"/>
      <c r="JI34" s="99"/>
      <c r="JJ34" s="99"/>
      <c r="JK34" s="99"/>
      <c r="JL34" s="99"/>
      <c r="JM34" s="99"/>
      <c r="JN34" s="99"/>
      <c r="JO34" s="99"/>
      <c r="JP34" s="99"/>
      <c r="JQ34" s="99"/>
      <c r="JR34" s="99"/>
      <c r="JS34" s="99"/>
      <c r="JT34" s="99"/>
      <c r="JU34" s="99"/>
      <c r="JV34" s="99"/>
      <c r="JW34" s="99"/>
      <c r="JX34" s="99"/>
      <c r="JY34" s="99"/>
      <c r="JZ34" s="99"/>
      <c r="KA34" s="99"/>
      <c r="KB34" s="99"/>
      <c r="KC34" s="99"/>
      <c r="KD34" s="99"/>
      <c r="KE34" s="99"/>
      <c r="KF34" s="99"/>
      <c r="KG34" s="99"/>
      <c r="KH34" s="99"/>
      <c r="KI34" s="99"/>
      <c r="KJ34" s="99"/>
      <c r="KK34" s="99"/>
      <c r="KL34" s="99"/>
      <c r="KM34" s="99"/>
      <c r="KN34" s="99"/>
      <c r="KO34" s="99"/>
      <c r="KP34" s="99"/>
      <c r="KQ34" s="99"/>
      <c r="KR34" s="99"/>
      <c r="KS34" s="99"/>
      <c r="KT34" s="99"/>
      <c r="KU34" s="99"/>
      <c r="KV34" s="99"/>
      <c r="KW34" s="99"/>
      <c r="KX34" s="99"/>
      <c r="KY34" s="99"/>
      <c r="KZ34" s="99"/>
      <c r="LA34" s="99"/>
      <c r="LB34" s="99"/>
      <c r="LC34" s="99"/>
      <c r="LD34" s="99"/>
      <c r="LE34" s="99"/>
      <c r="LF34" s="99"/>
      <c r="LG34" s="99"/>
      <c r="LH34" s="99"/>
      <c r="LI34" s="99"/>
      <c r="LJ34" s="99"/>
      <c r="LK34" s="99"/>
      <c r="LL34" s="99"/>
      <c r="LM34" s="99"/>
      <c r="LN34" s="99"/>
      <c r="LO34" s="99"/>
      <c r="LP34" s="99"/>
      <c r="LQ34" s="99"/>
      <c r="LR34" s="99"/>
      <c r="LS34" s="99"/>
      <c r="LT34" s="99"/>
      <c r="LU34" s="99"/>
      <c r="LV34" s="99"/>
      <c r="LW34" s="99"/>
      <c r="LX34" s="99"/>
      <c r="LY34" s="99"/>
      <c r="LZ34" s="99"/>
      <c r="MA34" s="99"/>
      <c r="MB34" s="99"/>
      <c r="MC34" s="99"/>
      <c r="MD34" s="99"/>
      <c r="ME34" s="99"/>
      <c r="MF34" s="99"/>
      <c r="MG34" s="99"/>
      <c r="MH34" s="99"/>
      <c r="MI34" s="99"/>
      <c r="MJ34" s="99"/>
      <c r="MK34" s="99"/>
      <c r="ML34" s="99"/>
      <c r="MM34" s="99"/>
      <c r="MN34" s="99"/>
      <c r="MO34" s="99"/>
      <c r="MP34" s="99"/>
      <c r="MQ34" s="99"/>
      <c r="MR34" s="99"/>
      <c r="MS34" s="99"/>
      <c r="MT34" s="99"/>
      <c r="MU34" s="99"/>
      <c r="MV34" s="99"/>
      <c r="MW34" s="99"/>
      <c r="MX34" s="99"/>
      <c r="MY34" s="99"/>
      <c r="MZ34" s="99"/>
      <c r="NA34" s="99"/>
      <c r="NB34" s="99"/>
      <c r="NC34" s="99"/>
      <c r="ND34" s="99"/>
      <c r="NE34" s="99"/>
      <c r="NF34" s="99"/>
      <c r="NG34" s="99"/>
      <c r="NH34" s="99"/>
      <c r="NI34" s="99"/>
      <c r="NJ34" s="99"/>
      <c r="NK34" s="99"/>
      <c r="NL34" s="99"/>
      <c r="NM34" s="99"/>
      <c r="NN34" s="99"/>
      <c r="NO34" s="99"/>
      <c r="NP34" s="99"/>
      <c r="NQ34" s="99"/>
      <c r="NR34" s="99"/>
      <c r="NS34" s="99"/>
      <c r="NT34" s="99"/>
      <c r="NU34" s="99"/>
      <c r="NV34" s="99"/>
      <c r="NW34" s="99"/>
      <c r="NX34" s="99"/>
      <c r="NY34" s="99"/>
      <c r="NZ34" s="99"/>
      <c r="OA34" s="99"/>
      <c r="OB34" s="99"/>
      <c r="OC34" s="99"/>
      <c r="OD34" s="99"/>
      <c r="OE34" s="99"/>
      <c r="OF34" s="99"/>
      <c r="OG34" s="99"/>
      <c r="OH34" s="99"/>
      <c r="OI34" s="99"/>
      <c r="OJ34" s="99"/>
      <c r="OK34" s="99"/>
      <c r="OL34" s="99"/>
      <c r="OM34" s="99"/>
      <c r="ON34" s="99"/>
      <c r="OO34" s="99"/>
      <c r="OP34" s="99"/>
      <c r="OQ34" s="99"/>
      <c r="OR34" s="99"/>
      <c r="OS34" s="99"/>
      <c r="OT34" s="99"/>
      <c r="OU34" s="99"/>
      <c r="OV34" s="99"/>
      <c r="OW34" s="99"/>
      <c r="OX34" s="99"/>
      <c r="OY34" s="99"/>
      <c r="OZ34" s="99"/>
      <c r="PA34" s="99"/>
      <c r="PB34" s="99"/>
      <c r="PC34" s="99"/>
      <c r="PD34" s="99"/>
      <c r="PE34" s="99"/>
      <c r="PF34" s="99"/>
      <c r="PG34" s="99"/>
      <c r="PH34" s="99"/>
      <c r="PI34" s="99"/>
      <c r="PJ34" s="99"/>
      <c r="PK34" s="99"/>
      <c r="PL34" s="99"/>
      <c r="PM34" s="99"/>
      <c r="PN34" s="99"/>
      <c r="PO34" s="99"/>
      <c r="PP34" s="99"/>
      <c r="PQ34" s="99"/>
      <c r="PR34" s="99"/>
      <c r="PS34" s="99"/>
      <c r="PT34" s="99"/>
      <c r="PU34" s="99"/>
      <c r="PV34" s="99"/>
      <c r="PW34" s="99"/>
      <c r="PX34" s="99"/>
      <c r="PY34" s="99"/>
      <c r="PZ34" s="99"/>
      <c r="QA34" s="99"/>
      <c r="QB34" s="99"/>
      <c r="QC34" s="99"/>
      <c r="QD34" s="99"/>
      <c r="QE34" s="99"/>
      <c r="QF34" s="99"/>
      <c r="QG34" s="99"/>
      <c r="QH34" s="99"/>
      <c r="QI34" s="99"/>
      <c r="QJ34" s="99"/>
      <c r="QK34" s="99"/>
      <c r="QL34" s="99"/>
      <c r="QM34" s="99"/>
      <c r="QN34" s="99"/>
      <c r="QO34" s="99"/>
      <c r="QP34" s="99"/>
      <c r="QQ34" s="99"/>
      <c r="QR34" s="99"/>
      <c r="QS34" s="99"/>
      <c r="QT34" s="99"/>
      <c r="QU34" s="99"/>
      <c r="QV34" s="99"/>
      <c r="QW34" s="99"/>
      <c r="QX34" s="99"/>
      <c r="QY34" s="99"/>
      <c r="QZ34" s="99"/>
      <c r="RA34" s="99"/>
      <c r="RB34" s="99"/>
      <c r="RC34" s="99"/>
      <c r="RD34" s="99"/>
      <c r="RE34" s="99"/>
      <c r="RF34" s="99"/>
      <c r="RG34" s="99"/>
      <c r="RH34" s="99"/>
      <c r="RI34" s="99"/>
      <c r="RJ34" s="99"/>
      <c r="RK34" s="99"/>
      <c r="RL34" s="99"/>
      <c r="RM34" s="99"/>
      <c r="RN34" s="99"/>
    </row>
    <row r="35" spans="1:482" s="60" customFormat="1" ht="11.25" x14ac:dyDescent="0.2">
      <c r="A35" s="123" t="s">
        <v>865</v>
      </c>
      <c r="B35" s="166"/>
      <c r="C35" s="166"/>
      <c r="D35" s="142">
        <f t="shared" ref="D35:AI35" si="74">SUM(D36:D39)</f>
        <v>15123882.699999997</v>
      </c>
      <c r="E35" s="142">
        <f t="shared" si="74"/>
        <v>0</v>
      </c>
      <c r="F35" s="142">
        <f t="shared" si="74"/>
        <v>0</v>
      </c>
      <c r="G35" s="142">
        <f t="shared" si="74"/>
        <v>0</v>
      </c>
      <c r="H35" s="142">
        <f t="shared" si="74"/>
        <v>187.2</v>
      </c>
      <c r="I35" s="142">
        <f t="shared" si="74"/>
        <v>0</v>
      </c>
      <c r="J35" s="142">
        <f t="shared" si="74"/>
        <v>614852.5</v>
      </c>
      <c r="K35" s="142">
        <f t="shared" si="74"/>
        <v>215.4</v>
      </c>
      <c r="L35" s="142">
        <f t="shared" si="74"/>
        <v>8.1999999999999993</v>
      </c>
      <c r="M35" s="142">
        <f t="shared" si="74"/>
        <v>0</v>
      </c>
      <c r="N35" s="142">
        <f t="shared" si="74"/>
        <v>0</v>
      </c>
      <c r="O35" s="142">
        <f t="shared" si="74"/>
        <v>0</v>
      </c>
      <c r="P35" s="142">
        <f t="shared" si="74"/>
        <v>417.6</v>
      </c>
      <c r="Q35" s="142">
        <f t="shared" si="74"/>
        <v>0</v>
      </c>
      <c r="R35" s="142">
        <f t="shared" si="74"/>
        <v>67</v>
      </c>
      <c r="S35" s="142">
        <f t="shared" si="74"/>
        <v>0</v>
      </c>
      <c r="T35" s="142">
        <f t="shared" si="74"/>
        <v>0</v>
      </c>
      <c r="U35" s="142">
        <f t="shared" si="74"/>
        <v>0</v>
      </c>
      <c r="V35" s="142">
        <f t="shared" si="74"/>
        <v>0</v>
      </c>
      <c r="W35" s="142">
        <f t="shared" si="74"/>
        <v>0</v>
      </c>
      <c r="X35" s="142">
        <f t="shared" si="74"/>
        <v>4580.8</v>
      </c>
      <c r="Y35" s="142">
        <f t="shared" si="74"/>
        <v>0</v>
      </c>
      <c r="Z35" s="142">
        <f t="shared" si="74"/>
        <v>18410.599999999999</v>
      </c>
      <c r="AA35" s="142">
        <f t="shared" si="74"/>
        <v>0</v>
      </c>
      <c r="AB35" s="142">
        <f t="shared" si="74"/>
        <v>0</v>
      </c>
      <c r="AC35" s="142">
        <f t="shared" si="74"/>
        <v>185.4</v>
      </c>
      <c r="AD35" s="142">
        <f t="shared" si="74"/>
        <v>2129.6</v>
      </c>
      <c r="AE35" s="142">
        <f t="shared" si="74"/>
        <v>245006.8</v>
      </c>
      <c r="AF35" s="142">
        <f t="shared" si="74"/>
        <v>111788.6</v>
      </c>
      <c r="AG35" s="142">
        <f t="shared" si="74"/>
        <v>0</v>
      </c>
      <c r="AH35" s="142">
        <f t="shared" si="74"/>
        <v>0</v>
      </c>
      <c r="AI35" s="142">
        <f t="shared" si="74"/>
        <v>0</v>
      </c>
      <c r="AJ35" s="142">
        <f t="shared" ref="AJ35:BJ35" si="75">SUM(AJ36:AJ39)</f>
        <v>6772.2</v>
      </c>
      <c r="AK35" s="142">
        <f t="shared" si="75"/>
        <v>8999237.5</v>
      </c>
      <c r="AL35" s="142">
        <f t="shared" si="75"/>
        <v>0</v>
      </c>
      <c r="AM35" s="142">
        <f t="shared" si="75"/>
        <v>0</v>
      </c>
      <c r="AN35" s="142">
        <f t="shared" si="75"/>
        <v>0</v>
      </c>
      <c r="AO35" s="142">
        <f t="shared" si="75"/>
        <v>0</v>
      </c>
      <c r="AP35" s="142">
        <f t="shared" si="75"/>
        <v>62385.599999999999</v>
      </c>
      <c r="AQ35" s="142">
        <f t="shared" si="75"/>
        <v>3237298.8</v>
      </c>
      <c r="AR35" s="142">
        <f t="shared" si="75"/>
        <v>0</v>
      </c>
      <c r="AS35" s="142">
        <f t="shared" si="75"/>
        <v>6401.7</v>
      </c>
      <c r="AT35" s="142">
        <f t="shared" si="75"/>
        <v>44465</v>
      </c>
      <c r="AU35" s="142">
        <f t="shared" si="75"/>
        <v>0</v>
      </c>
      <c r="AV35" s="142">
        <f t="shared" si="75"/>
        <v>0</v>
      </c>
      <c r="AW35" s="142">
        <f t="shared" si="75"/>
        <v>0</v>
      </c>
      <c r="AX35" s="142">
        <f t="shared" si="75"/>
        <v>0</v>
      </c>
      <c r="AY35" s="142">
        <f t="shared" si="75"/>
        <v>0</v>
      </c>
      <c r="AZ35" s="142">
        <f t="shared" si="75"/>
        <v>0</v>
      </c>
      <c r="BA35" s="142">
        <f t="shared" si="75"/>
        <v>17079.8</v>
      </c>
      <c r="BB35" s="142">
        <f t="shared" si="75"/>
        <v>239350.6</v>
      </c>
      <c r="BC35" s="142">
        <f t="shared" si="75"/>
        <v>0</v>
      </c>
      <c r="BD35" s="142">
        <f t="shared" si="75"/>
        <v>0</v>
      </c>
      <c r="BE35" s="142">
        <f t="shared" si="75"/>
        <v>188</v>
      </c>
      <c r="BF35" s="142">
        <f t="shared" si="75"/>
        <v>0</v>
      </c>
      <c r="BG35" s="142">
        <f t="shared" si="75"/>
        <v>0</v>
      </c>
      <c r="BH35" s="142">
        <f t="shared" si="75"/>
        <v>0</v>
      </c>
      <c r="BI35" s="142">
        <f t="shared" si="75"/>
        <v>0</v>
      </c>
      <c r="BJ35" s="142">
        <f t="shared" si="75"/>
        <v>14</v>
      </c>
      <c r="BK35" s="142" t="s">
        <v>933</v>
      </c>
      <c r="BL35" s="97">
        <f t="shared" ref="BL35:CL35" si="76">SUM(BL36:BL39)</f>
        <v>0</v>
      </c>
      <c r="BM35" s="97">
        <f t="shared" si="76"/>
        <v>0</v>
      </c>
      <c r="BN35" s="97">
        <f t="shared" si="76"/>
        <v>0</v>
      </c>
      <c r="BO35" s="97">
        <f t="shared" si="76"/>
        <v>0</v>
      </c>
      <c r="BP35" s="97">
        <f t="shared" si="76"/>
        <v>18.8</v>
      </c>
      <c r="BQ35" s="97">
        <f t="shared" si="76"/>
        <v>0</v>
      </c>
      <c r="BR35" s="97">
        <f t="shared" si="76"/>
        <v>81.8</v>
      </c>
      <c r="BS35" s="97">
        <f t="shared" si="76"/>
        <v>1198.0999999999999</v>
      </c>
      <c r="BT35" s="97">
        <f t="shared" si="76"/>
        <v>0</v>
      </c>
      <c r="BU35" s="97">
        <f t="shared" si="76"/>
        <v>0</v>
      </c>
      <c r="BV35" s="97">
        <f t="shared" si="76"/>
        <v>0</v>
      </c>
      <c r="BW35" s="97">
        <f t="shared" si="76"/>
        <v>0</v>
      </c>
      <c r="BX35" s="97">
        <f t="shared" si="76"/>
        <v>0</v>
      </c>
      <c r="BY35" s="97">
        <f t="shared" si="76"/>
        <v>0</v>
      </c>
      <c r="BZ35" s="97">
        <f t="shared" si="76"/>
        <v>0</v>
      </c>
      <c r="CA35" s="97">
        <f t="shared" si="76"/>
        <v>0</v>
      </c>
      <c r="CB35" s="97">
        <f t="shared" si="76"/>
        <v>0</v>
      </c>
      <c r="CC35" s="97">
        <f t="shared" si="76"/>
        <v>21</v>
      </c>
      <c r="CD35" s="97">
        <f t="shared" si="76"/>
        <v>548</v>
      </c>
      <c r="CE35" s="97">
        <f t="shared" si="76"/>
        <v>0</v>
      </c>
      <c r="CF35" s="97">
        <f t="shared" si="76"/>
        <v>0</v>
      </c>
      <c r="CG35" s="97">
        <f t="shared" si="76"/>
        <v>0</v>
      </c>
      <c r="CH35" s="97">
        <f t="shared" si="76"/>
        <v>6130.1</v>
      </c>
      <c r="CI35" s="97">
        <f t="shared" si="76"/>
        <v>0</v>
      </c>
      <c r="CJ35" s="97">
        <f t="shared" si="76"/>
        <v>503.7</v>
      </c>
      <c r="CK35" s="97">
        <f t="shared" si="76"/>
        <v>3111.3</v>
      </c>
      <c r="CL35" s="97">
        <f t="shared" si="76"/>
        <v>0</v>
      </c>
      <c r="CM35" s="97">
        <f t="shared" ref="CM35:DR35" si="77">SUM(CM36:CM39)</f>
        <v>45.6</v>
      </c>
      <c r="CN35" s="97">
        <f t="shared" si="77"/>
        <v>21</v>
      </c>
      <c r="CO35" s="97">
        <f t="shared" si="77"/>
        <v>14</v>
      </c>
      <c r="CP35" s="97">
        <f t="shared" si="77"/>
        <v>757.2</v>
      </c>
      <c r="CQ35" s="97">
        <f t="shared" si="77"/>
        <v>0</v>
      </c>
      <c r="CR35" s="97">
        <f t="shared" si="77"/>
        <v>0</v>
      </c>
      <c r="CS35" s="97">
        <f t="shared" si="77"/>
        <v>0</v>
      </c>
      <c r="CT35" s="97">
        <f t="shared" si="77"/>
        <v>0</v>
      </c>
      <c r="CU35" s="97">
        <f t="shared" si="77"/>
        <v>0</v>
      </c>
      <c r="CV35" s="97">
        <f t="shared" si="77"/>
        <v>0</v>
      </c>
      <c r="CW35" s="97">
        <f t="shared" si="77"/>
        <v>0</v>
      </c>
      <c r="CX35" s="97">
        <f t="shared" si="77"/>
        <v>0</v>
      </c>
      <c r="CY35" s="97">
        <f t="shared" si="77"/>
        <v>362.7</v>
      </c>
      <c r="CZ35" s="97">
        <f t="shared" si="77"/>
        <v>0</v>
      </c>
      <c r="DA35" s="97">
        <f t="shared" si="77"/>
        <v>0</v>
      </c>
      <c r="DB35" s="97">
        <f t="shared" si="77"/>
        <v>0</v>
      </c>
      <c r="DC35" s="97">
        <f t="shared" si="77"/>
        <v>0</v>
      </c>
      <c r="DD35" s="97">
        <f t="shared" si="77"/>
        <v>0</v>
      </c>
      <c r="DE35" s="97">
        <f t="shared" si="77"/>
        <v>0</v>
      </c>
      <c r="DF35" s="97">
        <f t="shared" si="77"/>
        <v>0</v>
      </c>
      <c r="DG35" s="97">
        <f t="shared" si="77"/>
        <v>3625.5</v>
      </c>
      <c r="DH35" s="97">
        <f t="shared" si="77"/>
        <v>0</v>
      </c>
      <c r="DI35" s="97">
        <f t="shared" si="77"/>
        <v>0</v>
      </c>
      <c r="DJ35" s="97">
        <f t="shared" si="77"/>
        <v>0</v>
      </c>
      <c r="DK35" s="97">
        <f t="shared" si="77"/>
        <v>0</v>
      </c>
      <c r="DL35" s="97">
        <f t="shared" si="77"/>
        <v>0</v>
      </c>
      <c r="DM35" s="97">
        <f t="shared" si="77"/>
        <v>0</v>
      </c>
      <c r="DN35" s="97">
        <f t="shared" si="77"/>
        <v>0</v>
      </c>
      <c r="DO35" s="97">
        <f t="shared" si="77"/>
        <v>0</v>
      </c>
      <c r="DP35" s="97">
        <f t="shared" si="77"/>
        <v>0</v>
      </c>
      <c r="DQ35" s="97">
        <f t="shared" si="77"/>
        <v>0</v>
      </c>
      <c r="DR35" s="97">
        <f t="shared" si="77"/>
        <v>0</v>
      </c>
      <c r="DS35" s="97">
        <f t="shared" ref="DS35:DY35" si="78">SUM(DS36:DS39)</f>
        <v>0</v>
      </c>
      <c r="DT35" s="97">
        <f t="shared" si="78"/>
        <v>0</v>
      </c>
      <c r="DU35" s="97">
        <f t="shared" si="78"/>
        <v>0</v>
      </c>
      <c r="DV35" s="97">
        <f t="shared" si="78"/>
        <v>0</v>
      </c>
      <c r="DW35" s="97">
        <f t="shared" si="78"/>
        <v>0</v>
      </c>
      <c r="DX35" s="97">
        <f t="shared" si="78"/>
        <v>0</v>
      </c>
      <c r="DY35" s="97">
        <f t="shared" si="78"/>
        <v>0</v>
      </c>
      <c r="DZ35" s="99"/>
      <c r="EA35" s="99"/>
      <c r="EB35" s="97">
        <f t="shared" ref="EB35:EV35" si="79">SUM(EB36:EB39)</f>
        <v>0</v>
      </c>
      <c r="EC35" s="97">
        <f t="shared" si="79"/>
        <v>0</v>
      </c>
      <c r="ED35" s="97">
        <f t="shared" si="79"/>
        <v>0</v>
      </c>
      <c r="EE35" s="97">
        <f t="shared" si="79"/>
        <v>79.599999999999994</v>
      </c>
      <c r="EF35" s="97">
        <f t="shared" si="79"/>
        <v>0</v>
      </c>
      <c r="EG35" s="97">
        <f t="shared" si="79"/>
        <v>0</v>
      </c>
      <c r="EH35" s="97">
        <f t="shared" si="79"/>
        <v>0</v>
      </c>
      <c r="EI35" s="97">
        <f t="shared" si="79"/>
        <v>0</v>
      </c>
      <c r="EJ35" s="97">
        <f t="shared" si="79"/>
        <v>0</v>
      </c>
      <c r="EK35" s="97">
        <f>SUM(EK36:EK39)</f>
        <v>0</v>
      </c>
      <c r="EL35" s="97">
        <f t="shared" si="79"/>
        <v>14</v>
      </c>
      <c r="EM35" s="97">
        <f t="shared" si="79"/>
        <v>0</v>
      </c>
      <c r="EN35" s="97">
        <f t="shared" si="79"/>
        <v>0</v>
      </c>
      <c r="EO35" s="97">
        <f t="shared" si="79"/>
        <v>0</v>
      </c>
      <c r="EP35" s="97">
        <f t="shared" si="79"/>
        <v>0</v>
      </c>
      <c r="EQ35" s="97">
        <f t="shared" si="79"/>
        <v>0</v>
      </c>
      <c r="ER35" s="97">
        <f t="shared" si="79"/>
        <v>14</v>
      </c>
      <c r="ES35" s="97">
        <f t="shared" si="79"/>
        <v>0</v>
      </c>
      <c r="ET35" s="97">
        <f t="shared" si="79"/>
        <v>0</v>
      </c>
      <c r="EU35" s="97">
        <f t="shared" si="79"/>
        <v>0</v>
      </c>
      <c r="EV35" s="97">
        <f t="shared" si="79"/>
        <v>0</v>
      </c>
      <c r="EW35" s="97">
        <f t="shared" ref="EW35:OV35" si="80">SUM(EW36:EW39)</f>
        <v>0</v>
      </c>
      <c r="EX35" s="97">
        <f t="shared" si="80"/>
        <v>0</v>
      </c>
      <c r="EY35" s="97">
        <f t="shared" si="80"/>
        <v>0</v>
      </c>
      <c r="EZ35" s="97">
        <f>SUM(EZ36:EZ39)</f>
        <v>0</v>
      </c>
      <c r="FA35" s="97">
        <f>SUM(FA36:FA39)</f>
        <v>0</v>
      </c>
      <c r="FB35" s="97">
        <f>SUM(FB36:FB39)</f>
        <v>0</v>
      </c>
      <c r="FC35" s="97">
        <f>SUM(FC36:FC39)</f>
        <v>0</v>
      </c>
      <c r="FD35" s="97">
        <f t="shared" si="80"/>
        <v>0</v>
      </c>
      <c r="FE35" s="97">
        <f t="shared" si="80"/>
        <v>0</v>
      </c>
      <c r="FF35" s="97">
        <f t="shared" ref="FF35:GE35" si="81">SUM(FF36:FF39)</f>
        <v>514.79999999999995</v>
      </c>
      <c r="FG35" s="97">
        <f t="shared" si="81"/>
        <v>0</v>
      </c>
      <c r="FH35" s="97">
        <f t="shared" si="81"/>
        <v>0</v>
      </c>
      <c r="FI35" s="97">
        <f t="shared" si="81"/>
        <v>0</v>
      </c>
      <c r="FJ35" s="97">
        <f t="shared" si="81"/>
        <v>0</v>
      </c>
      <c r="FK35" s="97">
        <f t="shared" si="81"/>
        <v>0</v>
      </c>
      <c r="FL35" s="97">
        <f t="shared" si="81"/>
        <v>0</v>
      </c>
      <c r="FM35" s="97">
        <f t="shared" si="81"/>
        <v>7267.7</v>
      </c>
      <c r="FN35" s="97">
        <f t="shared" si="81"/>
        <v>0</v>
      </c>
      <c r="FO35" s="97">
        <f t="shared" si="81"/>
        <v>0</v>
      </c>
      <c r="FP35" s="97">
        <f t="shared" si="81"/>
        <v>22.2</v>
      </c>
      <c r="FQ35" s="97">
        <f t="shared" si="81"/>
        <v>0</v>
      </c>
      <c r="FR35" s="97">
        <f t="shared" si="81"/>
        <v>0</v>
      </c>
      <c r="FS35" s="97">
        <f t="shared" si="81"/>
        <v>0</v>
      </c>
      <c r="FT35" s="97">
        <f t="shared" si="81"/>
        <v>14</v>
      </c>
      <c r="FU35" s="97">
        <f t="shared" si="81"/>
        <v>0</v>
      </c>
      <c r="FV35" s="97">
        <f t="shared" si="81"/>
        <v>7</v>
      </c>
      <c r="FW35" s="97">
        <f t="shared" si="81"/>
        <v>0</v>
      </c>
      <c r="FX35" s="97">
        <f t="shared" si="81"/>
        <v>0</v>
      </c>
      <c r="FY35" s="97">
        <f t="shared" si="81"/>
        <v>0</v>
      </c>
      <c r="FZ35" s="97">
        <f t="shared" si="81"/>
        <v>0</v>
      </c>
      <c r="GA35" s="97">
        <f t="shared" si="81"/>
        <v>0</v>
      </c>
      <c r="GB35" s="97">
        <f t="shared" si="81"/>
        <v>0</v>
      </c>
      <c r="GC35" s="97">
        <f t="shared" si="81"/>
        <v>63</v>
      </c>
      <c r="GD35" s="97">
        <f t="shared" si="81"/>
        <v>0</v>
      </c>
      <c r="GE35" s="97">
        <f t="shared" si="81"/>
        <v>0</v>
      </c>
      <c r="GF35" s="99"/>
      <c r="GG35" s="99"/>
      <c r="GH35" s="97">
        <f t="shared" ref="GH35:GR35" si="82">SUM(GH36:GH39)</f>
        <v>0</v>
      </c>
      <c r="GI35" s="97">
        <f t="shared" si="82"/>
        <v>0</v>
      </c>
      <c r="GJ35" s="97">
        <f t="shared" si="82"/>
        <v>0</v>
      </c>
      <c r="GK35" s="97">
        <f t="shared" si="82"/>
        <v>0</v>
      </c>
      <c r="GL35" s="97">
        <f t="shared" si="82"/>
        <v>0</v>
      </c>
      <c r="GM35" s="97">
        <f t="shared" si="82"/>
        <v>0</v>
      </c>
      <c r="GN35" s="97">
        <f t="shared" si="82"/>
        <v>0</v>
      </c>
      <c r="GO35" s="97">
        <f t="shared" si="82"/>
        <v>0</v>
      </c>
      <c r="GP35" s="97">
        <f t="shared" si="82"/>
        <v>0</v>
      </c>
      <c r="GQ35" s="97">
        <f t="shared" si="82"/>
        <v>0</v>
      </c>
      <c r="GR35" s="97">
        <f t="shared" si="82"/>
        <v>0</v>
      </c>
      <c r="GS35" s="97">
        <f t="shared" si="80"/>
        <v>0</v>
      </c>
      <c r="GT35" s="97">
        <f t="shared" ref="GT35:HB35" si="83">SUM(GT36:GT39)</f>
        <v>0</v>
      </c>
      <c r="GU35" s="97">
        <f t="shared" si="83"/>
        <v>0</v>
      </c>
      <c r="GV35" s="97">
        <f t="shared" si="83"/>
        <v>0</v>
      </c>
      <c r="GW35" s="97">
        <f t="shared" si="83"/>
        <v>0</v>
      </c>
      <c r="GX35" s="97">
        <f t="shared" si="83"/>
        <v>0</v>
      </c>
      <c r="GY35" s="97">
        <f t="shared" si="83"/>
        <v>0</v>
      </c>
      <c r="GZ35" s="97">
        <f t="shared" si="83"/>
        <v>0</v>
      </c>
      <c r="HA35" s="97">
        <f t="shared" si="83"/>
        <v>28</v>
      </c>
      <c r="HB35" s="97">
        <f t="shared" si="83"/>
        <v>0</v>
      </c>
      <c r="HC35" s="99"/>
      <c r="HD35" s="97">
        <f>SUM(HD36:HD39)</f>
        <v>0</v>
      </c>
      <c r="HE35" s="97">
        <f>SUM(HE36:HE39)</f>
        <v>0</v>
      </c>
      <c r="HF35" s="97">
        <f>SUM(HF36:HF39)</f>
        <v>0</v>
      </c>
      <c r="HG35" s="97">
        <f>SUM(HG36:HG39)</f>
        <v>0</v>
      </c>
      <c r="HH35" s="97">
        <f t="shared" si="80"/>
        <v>0</v>
      </c>
      <c r="HI35" s="97">
        <f t="shared" ref="HI35:HN35" si="84">SUM(HI36:HI39)</f>
        <v>49.2</v>
      </c>
      <c r="HJ35" s="97">
        <f t="shared" si="84"/>
        <v>0</v>
      </c>
      <c r="HK35" s="97">
        <f t="shared" si="84"/>
        <v>0</v>
      </c>
      <c r="HL35" s="97">
        <f t="shared" si="84"/>
        <v>0</v>
      </c>
      <c r="HM35" s="97">
        <f t="shared" si="84"/>
        <v>0</v>
      </c>
      <c r="HN35" s="97">
        <f t="shared" si="84"/>
        <v>0</v>
      </c>
      <c r="HO35" s="99"/>
      <c r="HP35" s="97">
        <f t="shared" ref="HP35:IU35" si="85">SUM(HP36:HP39)</f>
        <v>0</v>
      </c>
      <c r="HQ35" s="97">
        <f t="shared" si="85"/>
        <v>0</v>
      </c>
      <c r="HR35" s="97">
        <f t="shared" si="85"/>
        <v>0</v>
      </c>
      <c r="HS35" s="97">
        <f t="shared" si="85"/>
        <v>0</v>
      </c>
      <c r="HT35" s="97">
        <f t="shared" si="85"/>
        <v>0</v>
      </c>
      <c r="HU35" s="97">
        <f t="shared" si="85"/>
        <v>0</v>
      </c>
      <c r="HV35" s="97">
        <f t="shared" si="85"/>
        <v>0</v>
      </c>
      <c r="HW35" s="97">
        <f t="shared" si="85"/>
        <v>0</v>
      </c>
      <c r="HX35" s="97">
        <f t="shared" si="85"/>
        <v>0</v>
      </c>
      <c r="HY35" s="97">
        <f t="shared" si="85"/>
        <v>0</v>
      </c>
      <c r="HZ35" s="97">
        <f t="shared" si="85"/>
        <v>0</v>
      </c>
      <c r="IA35" s="97">
        <f t="shared" si="85"/>
        <v>250.2</v>
      </c>
      <c r="IB35" s="97">
        <f t="shared" si="85"/>
        <v>0</v>
      </c>
      <c r="IC35" s="97">
        <f t="shared" si="85"/>
        <v>0</v>
      </c>
      <c r="ID35" s="97">
        <f t="shared" si="85"/>
        <v>0</v>
      </c>
      <c r="IE35" s="97">
        <f t="shared" si="85"/>
        <v>0</v>
      </c>
      <c r="IF35" s="97">
        <f t="shared" si="85"/>
        <v>0</v>
      </c>
      <c r="IG35" s="97">
        <f t="shared" si="85"/>
        <v>0</v>
      </c>
      <c r="IH35" s="97">
        <f t="shared" si="85"/>
        <v>0</v>
      </c>
      <c r="II35" s="97">
        <f t="shared" si="85"/>
        <v>0</v>
      </c>
      <c r="IJ35" s="97">
        <f t="shared" si="85"/>
        <v>16.399999999999999</v>
      </c>
      <c r="IK35" s="97">
        <f t="shared" si="85"/>
        <v>35</v>
      </c>
      <c r="IL35" s="97">
        <f t="shared" si="85"/>
        <v>0</v>
      </c>
      <c r="IM35" s="97">
        <f t="shared" si="85"/>
        <v>0</v>
      </c>
      <c r="IN35" s="97">
        <f t="shared" si="85"/>
        <v>0</v>
      </c>
      <c r="IO35" s="97">
        <f t="shared" si="85"/>
        <v>0</v>
      </c>
      <c r="IP35" s="97">
        <f t="shared" si="85"/>
        <v>0</v>
      </c>
      <c r="IQ35" s="97">
        <f t="shared" si="85"/>
        <v>0</v>
      </c>
      <c r="IR35" s="97">
        <f t="shared" si="85"/>
        <v>1320350.3</v>
      </c>
      <c r="IS35" s="97">
        <f t="shared" si="85"/>
        <v>0</v>
      </c>
      <c r="IT35" s="97">
        <f t="shared" si="85"/>
        <v>0</v>
      </c>
      <c r="IU35" s="97">
        <f t="shared" si="85"/>
        <v>14</v>
      </c>
      <c r="IV35" s="97">
        <f t="shared" ref="IV35:KA35" si="86">SUM(IV36:IV39)</f>
        <v>17485.400000000001</v>
      </c>
      <c r="IW35" s="97">
        <f t="shared" si="86"/>
        <v>0</v>
      </c>
      <c r="IX35" s="97">
        <f t="shared" si="86"/>
        <v>64.400000000000006</v>
      </c>
      <c r="IY35" s="97">
        <f t="shared" si="86"/>
        <v>0</v>
      </c>
      <c r="IZ35" s="97">
        <f t="shared" si="86"/>
        <v>0</v>
      </c>
      <c r="JA35" s="97">
        <f t="shared" si="86"/>
        <v>0</v>
      </c>
      <c r="JB35" s="97">
        <f t="shared" si="86"/>
        <v>0</v>
      </c>
      <c r="JC35" s="97">
        <f t="shared" si="86"/>
        <v>2698.9</v>
      </c>
      <c r="JD35" s="97">
        <f t="shared" si="86"/>
        <v>0</v>
      </c>
      <c r="JE35" s="97">
        <f t="shared" si="86"/>
        <v>0</v>
      </c>
      <c r="JF35" s="97">
        <f t="shared" si="86"/>
        <v>0</v>
      </c>
      <c r="JG35" s="97">
        <f t="shared" si="86"/>
        <v>0</v>
      </c>
      <c r="JH35" s="97">
        <f t="shared" si="86"/>
        <v>0</v>
      </c>
      <c r="JI35" s="97">
        <f t="shared" si="86"/>
        <v>0</v>
      </c>
      <c r="JJ35" s="97">
        <f t="shared" si="86"/>
        <v>0</v>
      </c>
      <c r="JK35" s="97">
        <f t="shared" si="86"/>
        <v>0</v>
      </c>
      <c r="JL35" s="97">
        <f t="shared" si="86"/>
        <v>0</v>
      </c>
      <c r="JM35" s="97">
        <f t="shared" si="86"/>
        <v>0</v>
      </c>
      <c r="JN35" s="97">
        <f t="shared" si="86"/>
        <v>0</v>
      </c>
      <c r="JO35" s="97">
        <f t="shared" si="86"/>
        <v>0</v>
      </c>
      <c r="JP35" s="97">
        <f t="shared" si="86"/>
        <v>0</v>
      </c>
      <c r="JQ35" s="97">
        <f t="shared" si="86"/>
        <v>0</v>
      </c>
      <c r="JR35" s="97">
        <f t="shared" si="86"/>
        <v>0</v>
      </c>
      <c r="JS35" s="97">
        <f t="shared" si="86"/>
        <v>0</v>
      </c>
      <c r="JT35" s="97">
        <f t="shared" si="86"/>
        <v>0</v>
      </c>
      <c r="JU35" s="97">
        <f t="shared" si="86"/>
        <v>0</v>
      </c>
      <c r="JV35" s="97">
        <f t="shared" si="86"/>
        <v>0</v>
      </c>
      <c r="JW35" s="97">
        <f t="shared" si="86"/>
        <v>0</v>
      </c>
      <c r="JX35" s="97">
        <f t="shared" si="86"/>
        <v>0</v>
      </c>
      <c r="JY35" s="97">
        <f t="shared" si="86"/>
        <v>0</v>
      </c>
      <c r="JZ35" s="97">
        <f t="shared" si="86"/>
        <v>63986.700000000004</v>
      </c>
      <c r="KA35" s="97">
        <f t="shared" si="86"/>
        <v>0</v>
      </c>
      <c r="KB35" s="97">
        <f t="shared" ref="KB35:KE35" si="87">SUM(KB36:KB39)</f>
        <v>0</v>
      </c>
      <c r="KC35" s="97">
        <f t="shared" si="87"/>
        <v>0</v>
      </c>
      <c r="KD35" s="97">
        <f t="shared" si="87"/>
        <v>0</v>
      </c>
      <c r="KE35" s="97">
        <f t="shared" si="87"/>
        <v>0</v>
      </c>
      <c r="KF35" s="99"/>
      <c r="KG35" s="97">
        <f t="shared" ref="KG35:OT35" si="88">SUM(KG36:KG39)</f>
        <v>0</v>
      </c>
      <c r="KH35" s="97">
        <f t="shared" si="88"/>
        <v>0</v>
      </c>
      <c r="KI35" s="97">
        <f t="shared" si="88"/>
        <v>391.6</v>
      </c>
      <c r="KJ35" s="97">
        <f t="shared" si="88"/>
        <v>0</v>
      </c>
      <c r="KK35" s="97">
        <f t="shared" si="88"/>
        <v>0</v>
      </c>
      <c r="KL35" s="97">
        <f t="shared" si="88"/>
        <v>0</v>
      </c>
      <c r="KM35" s="97">
        <f t="shared" si="88"/>
        <v>0</v>
      </c>
      <c r="KN35" s="97">
        <f t="shared" si="88"/>
        <v>0</v>
      </c>
      <c r="KO35" s="97">
        <f t="shared" si="88"/>
        <v>0</v>
      </c>
      <c r="KP35" s="97">
        <f t="shared" si="88"/>
        <v>14</v>
      </c>
      <c r="KQ35" s="97">
        <f t="shared" si="88"/>
        <v>0</v>
      </c>
      <c r="KR35" s="97">
        <f t="shared" si="88"/>
        <v>91</v>
      </c>
      <c r="KS35" s="97">
        <f t="shared" si="88"/>
        <v>7</v>
      </c>
      <c r="KT35" s="97">
        <f t="shared" si="88"/>
        <v>0</v>
      </c>
      <c r="KU35" s="97">
        <f t="shared" si="88"/>
        <v>0</v>
      </c>
      <c r="KV35" s="97">
        <f t="shared" si="88"/>
        <v>0</v>
      </c>
      <c r="KW35" s="97">
        <f t="shared" si="88"/>
        <v>0</v>
      </c>
      <c r="KX35" s="97">
        <f t="shared" si="88"/>
        <v>10961.2</v>
      </c>
      <c r="KY35" s="97">
        <f t="shared" si="88"/>
        <v>273.39999999999998</v>
      </c>
      <c r="KZ35" s="97">
        <f t="shared" si="88"/>
        <v>7</v>
      </c>
      <c r="LA35" s="97">
        <f t="shared" si="88"/>
        <v>0</v>
      </c>
      <c r="LB35" s="97">
        <f t="shared" si="88"/>
        <v>0</v>
      </c>
      <c r="LC35" s="97">
        <f>SUM(LC36:LC39)</f>
        <v>0</v>
      </c>
      <c r="LD35" s="97">
        <f>SUM(LD36:LD39)</f>
        <v>0</v>
      </c>
      <c r="LE35" s="97">
        <f>SUM(LE36:LE39)</f>
        <v>0</v>
      </c>
      <c r="LF35" s="99"/>
      <c r="LG35" s="97">
        <f>SUM(LG36:LG39)</f>
        <v>0</v>
      </c>
      <c r="LH35" s="97">
        <f>SUM(LH36:LH39)</f>
        <v>0</v>
      </c>
      <c r="LI35" s="97">
        <f>SUM(LI36:LI39)</f>
        <v>0</v>
      </c>
      <c r="LJ35" s="97">
        <f>SUM(LJ36:LJ39)</f>
        <v>0</v>
      </c>
      <c r="LK35" s="97">
        <f t="shared" ref="LK35:LQ35" si="89">SUM(LK36:LK39)</f>
        <v>0</v>
      </c>
      <c r="LL35" s="97">
        <f t="shared" si="89"/>
        <v>0</v>
      </c>
      <c r="LM35" s="97">
        <f>SUM(LM36:LM39)</f>
        <v>0</v>
      </c>
      <c r="LN35" s="97">
        <f>SUM(LN36:LN39)</f>
        <v>0</v>
      </c>
      <c r="LO35" s="97">
        <f t="shared" si="89"/>
        <v>0</v>
      </c>
      <c r="LP35" s="97">
        <f t="shared" si="89"/>
        <v>0</v>
      </c>
      <c r="LQ35" s="97">
        <f t="shared" si="89"/>
        <v>0</v>
      </c>
      <c r="LR35" s="99"/>
      <c r="LS35" s="99"/>
      <c r="LT35" s="97">
        <f t="shared" ref="LT35:MY35" si="90">SUM(LT36:LT39)</f>
        <v>0</v>
      </c>
      <c r="LU35" s="97">
        <f t="shared" si="90"/>
        <v>0</v>
      </c>
      <c r="LV35" s="97">
        <f t="shared" si="90"/>
        <v>0</v>
      </c>
      <c r="LW35" s="97">
        <f t="shared" si="90"/>
        <v>0</v>
      </c>
      <c r="LX35" s="97">
        <f t="shared" si="90"/>
        <v>0</v>
      </c>
      <c r="LY35" s="97">
        <f t="shared" si="90"/>
        <v>0</v>
      </c>
      <c r="LZ35" s="97">
        <f t="shared" si="90"/>
        <v>0</v>
      </c>
      <c r="MA35" s="97">
        <f t="shared" si="90"/>
        <v>0</v>
      </c>
      <c r="MB35" s="97">
        <f t="shared" si="90"/>
        <v>0</v>
      </c>
      <c r="MC35" s="97">
        <f t="shared" si="90"/>
        <v>0</v>
      </c>
      <c r="MD35" s="97">
        <f t="shared" si="90"/>
        <v>788.8</v>
      </c>
      <c r="ME35" s="97">
        <f t="shared" si="90"/>
        <v>0</v>
      </c>
      <c r="MF35" s="97">
        <f t="shared" si="90"/>
        <v>0</v>
      </c>
      <c r="MG35" s="97">
        <f t="shared" si="90"/>
        <v>0</v>
      </c>
      <c r="MH35" s="97">
        <f t="shared" si="90"/>
        <v>0</v>
      </c>
      <c r="MI35" s="97">
        <f t="shared" si="90"/>
        <v>0</v>
      </c>
      <c r="MJ35" s="97">
        <f t="shared" si="90"/>
        <v>0</v>
      </c>
      <c r="MK35" s="97">
        <f t="shared" si="90"/>
        <v>0</v>
      </c>
      <c r="ML35" s="97">
        <f t="shared" si="90"/>
        <v>0</v>
      </c>
      <c r="MM35" s="97">
        <f t="shared" si="90"/>
        <v>0</v>
      </c>
      <c r="MN35" s="97">
        <f t="shared" si="90"/>
        <v>0</v>
      </c>
      <c r="MO35" s="97">
        <f t="shared" si="90"/>
        <v>0</v>
      </c>
      <c r="MP35" s="97">
        <f t="shared" si="90"/>
        <v>0</v>
      </c>
      <c r="MQ35" s="97">
        <f t="shared" si="90"/>
        <v>0</v>
      </c>
      <c r="MR35" s="97">
        <f t="shared" si="90"/>
        <v>0</v>
      </c>
      <c r="MS35" s="97">
        <f t="shared" si="90"/>
        <v>0</v>
      </c>
      <c r="MT35" s="97">
        <f t="shared" si="90"/>
        <v>0</v>
      </c>
      <c r="MU35" s="97">
        <f t="shared" si="90"/>
        <v>0</v>
      </c>
      <c r="MV35" s="97">
        <f t="shared" si="90"/>
        <v>0</v>
      </c>
      <c r="MW35" s="97">
        <f t="shared" si="90"/>
        <v>0</v>
      </c>
      <c r="MX35" s="97">
        <f t="shared" si="90"/>
        <v>0</v>
      </c>
      <c r="MY35" s="97">
        <f t="shared" si="90"/>
        <v>0</v>
      </c>
      <c r="MZ35" s="97">
        <f t="shared" ref="MZ35:OE35" si="91">SUM(MZ36:MZ39)</f>
        <v>0</v>
      </c>
      <c r="NA35" s="97">
        <f t="shared" si="91"/>
        <v>0</v>
      </c>
      <c r="NB35" s="97">
        <f t="shared" si="91"/>
        <v>0</v>
      </c>
      <c r="NC35" s="97">
        <f t="shared" si="91"/>
        <v>0</v>
      </c>
      <c r="ND35" s="97">
        <f t="shared" si="91"/>
        <v>0</v>
      </c>
      <c r="NE35" s="97">
        <f t="shared" si="91"/>
        <v>0</v>
      </c>
      <c r="NF35" s="97">
        <f t="shared" si="91"/>
        <v>0</v>
      </c>
      <c r="NG35" s="97">
        <f t="shared" si="91"/>
        <v>0</v>
      </c>
      <c r="NH35" s="97">
        <f t="shared" si="91"/>
        <v>0</v>
      </c>
      <c r="NI35" s="97">
        <f t="shared" si="91"/>
        <v>0</v>
      </c>
      <c r="NJ35" s="97">
        <f t="shared" si="91"/>
        <v>0</v>
      </c>
      <c r="NK35" s="97">
        <f t="shared" si="91"/>
        <v>15.2</v>
      </c>
      <c r="NL35" s="97">
        <f t="shared" si="91"/>
        <v>7</v>
      </c>
      <c r="NM35" s="97">
        <f t="shared" si="91"/>
        <v>0</v>
      </c>
      <c r="NN35" s="97">
        <f t="shared" si="91"/>
        <v>0</v>
      </c>
      <c r="NO35" s="97">
        <f t="shared" si="91"/>
        <v>0</v>
      </c>
      <c r="NP35" s="97">
        <f t="shared" si="91"/>
        <v>0</v>
      </c>
      <c r="NQ35" s="97">
        <f t="shared" si="91"/>
        <v>0</v>
      </c>
      <c r="NR35" s="97">
        <f t="shared" si="91"/>
        <v>0</v>
      </c>
      <c r="NS35" s="97">
        <f t="shared" si="91"/>
        <v>0</v>
      </c>
      <c r="NT35" s="97">
        <f t="shared" si="91"/>
        <v>0</v>
      </c>
      <c r="NU35" s="97">
        <f t="shared" si="91"/>
        <v>0</v>
      </c>
      <c r="NV35" s="97">
        <f t="shared" si="91"/>
        <v>0</v>
      </c>
      <c r="NW35" s="97">
        <f t="shared" si="91"/>
        <v>0</v>
      </c>
      <c r="NX35" s="97">
        <f t="shared" si="91"/>
        <v>0</v>
      </c>
      <c r="NY35" s="97">
        <f t="shared" si="91"/>
        <v>0</v>
      </c>
      <c r="NZ35" s="97">
        <f t="shared" si="91"/>
        <v>0</v>
      </c>
      <c r="OA35" s="97">
        <f t="shared" si="91"/>
        <v>0</v>
      </c>
      <c r="OB35" s="97">
        <f t="shared" si="91"/>
        <v>0</v>
      </c>
      <c r="OC35" s="97">
        <f t="shared" si="91"/>
        <v>0</v>
      </c>
      <c r="OD35" s="97">
        <f t="shared" si="91"/>
        <v>0</v>
      </c>
      <c r="OE35" s="97">
        <f t="shared" si="91"/>
        <v>0</v>
      </c>
      <c r="OF35" s="97">
        <f t="shared" ref="OF35:OG35" si="92">SUM(OF36:OF39)</f>
        <v>0</v>
      </c>
      <c r="OG35" s="97">
        <f t="shared" si="92"/>
        <v>0</v>
      </c>
      <c r="OH35" s="97">
        <f t="shared" si="88"/>
        <v>0</v>
      </c>
      <c r="OI35" s="97">
        <f t="shared" si="88"/>
        <v>94.6</v>
      </c>
      <c r="OJ35" s="97">
        <f>SUM(OJ36:OJ39)</f>
        <v>0</v>
      </c>
      <c r="OK35" s="97">
        <f>SUM(OK36:OK39)</f>
        <v>0</v>
      </c>
      <c r="OL35" s="97">
        <f t="shared" si="88"/>
        <v>4929.7</v>
      </c>
      <c r="OM35" s="97">
        <f t="shared" si="88"/>
        <v>38.6</v>
      </c>
      <c r="ON35" s="97">
        <f>SUM(ON36:ON39)</f>
        <v>9.4</v>
      </c>
      <c r="OO35" s="97">
        <f t="shared" si="88"/>
        <v>0</v>
      </c>
      <c r="OP35" s="97">
        <f t="shared" si="88"/>
        <v>0</v>
      </c>
      <c r="OQ35" s="97">
        <f t="shared" si="88"/>
        <v>0</v>
      </c>
      <c r="OR35" s="97">
        <f t="shared" si="88"/>
        <v>0</v>
      </c>
      <c r="OS35" s="97">
        <f t="shared" si="88"/>
        <v>104.4</v>
      </c>
      <c r="OT35" s="97">
        <f t="shared" si="88"/>
        <v>0</v>
      </c>
      <c r="OU35" s="97">
        <f t="shared" si="80"/>
        <v>0</v>
      </c>
      <c r="OV35" s="97">
        <f t="shared" si="80"/>
        <v>0</v>
      </c>
      <c r="OW35" s="97">
        <f t="shared" ref="OW35:PH35" si="93">SUM(OW36:OW39)</f>
        <v>0</v>
      </c>
      <c r="OX35" s="97">
        <f t="shared" si="93"/>
        <v>0</v>
      </c>
      <c r="OY35" s="97">
        <f t="shared" si="93"/>
        <v>0</v>
      </c>
      <c r="OZ35" s="97">
        <f t="shared" si="93"/>
        <v>51463.5</v>
      </c>
      <c r="PA35" s="97">
        <f t="shared" si="93"/>
        <v>0</v>
      </c>
      <c r="PB35" s="97">
        <f>SUM(PB36:PB39)</f>
        <v>0</v>
      </c>
      <c r="PC35" s="97">
        <f t="shared" si="93"/>
        <v>0</v>
      </c>
      <c r="PD35" s="97">
        <f>SUM(PD36:PD39)</f>
        <v>0</v>
      </c>
      <c r="PE35" s="97">
        <f t="shared" si="93"/>
        <v>0</v>
      </c>
      <c r="PF35" s="97">
        <f t="shared" si="93"/>
        <v>0</v>
      </c>
      <c r="PG35" s="97">
        <f t="shared" si="93"/>
        <v>658</v>
      </c>
      <c r="PH35" s="97">
        <f t="shared" si="93"/>
        <v>18.8</v>
      </c>
      <c r="PI35" s="97">
        <f>SUM(PI36:PI39)</f>
        <v>0</v>
      </c>
      <c r="PJ35" s="97">
        <f t="shared" ref="PJ35:QC35" si="94">SUM(PJ36:PJ39)</f>
        <v>0</v>
      </c>
      <c r="PK35" s="97">
        <f t="shared" si="94"/>
        <v>0</v>
      </c>
      <c r="PL35" s="97">
        <f t="shared" si="94"/>
        <v>0</v>
      </c>
      <c r="PM35" s="97">
        <f t="shared" si="94"/>
        <v>0</v>
      </c>
      <c r="PN35" s="97">
        <f t="shared" ref="PN35:PS35" si="95">SUM(PN36:PN39)</f>
        <v>0</v>
      </c>
      <c r="PO35" s="97">
        <f t="shared" si="95"/>
        <v>0</v>
      </c>
      <c r="PP35" s="97">
        <f t="shared" si="95"/>
        <v>0</v>
      </c>
      <c r="PQ35" s="97">
        <f t="shared" si="95"/>
        <v>0</v>
      </c>
      <c r="PR35" s="97">
        <f t="shared" si="95"/>
        <v>0</v>
      </c>
      <c r="PS35" s="97">
        <f t="shared" si="95"/>
        <v>0</v>
      </c>
      <c r="PT35" s="97">
        <f t="shared" si="94"/>
        <v>0</v>
      </c>
      <c r="PU35" s="97">
        <f>SUM(PU36:PU39)</f>
        <v>7</v>
      </c>
      <c r="PV35" s="97">
        <f t="shared" si="94"/>
        <v>0</v>
      </c>
      <c r="PW35" s="97">
        <f>SUM(PW36:PW39)</f>
        <v>2046</v>
      </c>
      <c r="PX35" s="97">
        <f>SUM(PX36:PX39)</f>
        <v>8.1999999999999993</v>
      </c>
      <c r="PY35" s="97">
        <f>SUM(PY36:PY39)</f>
        <v>0</v>
      </c>
      <c r="PZ35" s="97">
        <f>SUM(PZ36:PZ39)</f>
        <v>0</v>
      </c>
      <c r="QA35" s="97">
        <f>SUM(QA36:QA39)</f>
        <v>38.6</v>
      </c>
      <c r="QB35" s="97">
        <f t="shared" si="94"/>
        <v>7</v>
      </c>
      <c r="QC35" s="97">
        <f t="shared" si="94"/>
        <v>61</v>
      </c>
      <c r="QD35" s="97">
        <f>SUM(QD36:QD39)</f>
        <v>10871.6</v>
      </c>
      <c r="QE35" s="97">
        <f t="shared" ref="QE35:QJ35" si="96">SUM(QE36:QE39)</f>
        <v>36.4</v>
      </c>
      <c r="QF35" s="97">
        <f t="shared" si="96"/>
        <v>0</v>
      </c>
      <c r="QG35" s="97">
        <f t="shared" si="96"/>
        <v>0</v>
      </c>
      <c r="QH35" s="97">
        <f t="shared" si="96"/>
        <v>0</v>
      </c>
      <c r="QI35" s="97">
        <f t="shared" si="96"/>
        <v>477.2</v>
      </c>
      <c r="QJ35" s="97">
        <f t="shared" si="96"/>
        <v>0</v>
      </c>
      <c r="QK35" s="97">
        <f>SUM(QK36:QK39)</f>
        <v>0</v>
      </c>
      <c r="QL35" s="97">
        <f t="shared" ref="QL35:QM35" si="97">SUM(QL36:QL39)</f>
        <v>0</v>
      </c>
      <c r="QM35" s="97">
        <f t="shared" si="97"/>
        <v>0</v>
      </c>
      <c r="QN35" s="97">
        <f>SUM(QN36:QN39)</f>
        <v>0</v>
      </c>
      <c r="QO35" s="97">
        <f>SUM(QO36:QO39)</f>
        <v>0</v>
      </c>
      <c r="QP35" s="97">
        <f t="shared" ref="QP35" si="98">SUM(QP36:QP39)</f>
        <v>0</v>
      </c>
      <c r="QQ35" s="97">
        <f>SUM(QQ36:QQ39)</f>
        <v>0</v>
      </c>
      <c r="QR35" s="97">
        <f>SUM(QR36:QR39)</f>
        <v>0</v>
      </c>
      <c r="QS35" s="97">
        <f t="shared" ref="QS35:RM35" si="99">SUM(QS36:QS39)</f>
        <v>0</v>
      </c>
      <c r="QT35" s="97">
        <f>SUM(QT36:QT39)</f>
        <v>0</v>
      </c>
      <c r="QU35" s="97">
        <f>SUM(QU36:QU39)</f>
        <v>0</v>
      </c>
      <c r="QV35" s="97">
        <f t="shared" si="99"/>
        <v>0</v>
      </c>
      <c r="QW35" s="97">
        <f t="shared" si="99"/>
        <v>0</v>
      </c>
      <c r="QX35" s="97">
        <f t="shared" si="99"/>
        <v>0</v>
      </c>
      <c r="QY35" s="97">
        <f t="shared" si="99"/>
        <v>0</v>
      </c>
      <c r="QZ35" s="97">
        <f t="shared" si="99"/>
        <v>0</v>
      </c>
      <c r="RA35" s="97">
        <f t="shared" si="99"/>
        <v>0</v>
      </c>
      <c r="RB35" s="97">
        <f t="shared" si="99"/>
        <v>0</v>
      </c>
      <c r="RC35" s="97">
        <f t="shared" si="99"/>
        <v>0</v>
      </c>
      <c r="RD35" s="97">
        <f t="shared" si="99"/>
        <v>0</v>
      </c>
      <c r="RE35" s="97">
        <f>SUM(RE36:RE39)</f>
        <v>0</v>
      </c>
      <c r="RF35" s="97">
        <f t="shared" si="99"/>
        <v>0</v>
      </c>
      <c r="RG35" s="97">
        <f t="shared" si="99"/>
        <v>0</v>
      </c>
      <c r="RH35" s="97">
        <f t="shared" si="99"/>
        <v>0</v>
      </c>
      <c r="RI35" s="97">
        <f t="shared" si="99"/>
        <v>0</v>
      </c>
      <c r="RJ35" s="97">
        <f>SUM(RJ36:RJ39)</f>
        <v>0</v>
      </c>
      <c r="RK35" s="97">
        <f t="shared" si="99"/>
        <v>0</v>
      </c>
      <c r="RL35" s="97">
        <f t="shared" si="99"/>
        <v>0</v>
      </c>
      <c r="RM35" s="97">
        <f t="shared" si="99"/>
        <v>0</v>
      </c>
      <c r="RN35" s="97">
        <f>SUM(RN36:RN39)</f>
        <v>0</v>
      </c>
    </row>
    <row r="36" spans="1:482" s="60" customFormat="1" ht="11.25" customHeight="1" x14ac:dyDescent="0.2">
      <c r="A36" s="124" t="s">
        <v>773</v>
      </c>
      <c r="B36" s="176" t="s">
        <v>774</v>
      </c>
      <c r="C36" s="176"/>
      <c r="D36" s="116">
        <f>SUM(E36:RR36)</f>
        <v>15090760.399999997</v>
      </c>
      <c r="E36" s="114"/>
      <c r="F36" s="114"/>
      <c r="G36" s="114"/>
      <c r="H36" s="114">
        <v>187.2</v>
      </c>
      <c r="I36" s="114"/>
      <c r="J36" s="114">
        <v>614852.5</v>
      </c>
      <c r="K36" s="114">
        <v>215.4</v>
      </c>
      <c r="L36" s="114">
        <v>8.1999999999999993</v>
      </c>
      <c r="M36" s="114"/>
      <c r="N36" s="114"/>
      <c r="O36" s="114"/>
      <c r="P36" s="114">
        <v>417.6</v>
      </c>
      <c r="Q36" s="114"/>
      <c r="R36" s="114">
        <v>67</v>
      </c>
      <c r="S36" s="114"/>
      <c r="T36" s="114"/>
      <c r="U36" s="114"/>
      <c r="V36" s="114"/>
      <c r="W36" s="114"/>
      <c r="X36" s="114">
        <v>4580.8</v>
      </c>
      <c r="Y36" s="114"/>
      <c r="Z36" s="114">
        <v>18410.599999999999</v>
      </c>
      <c r="AA36" s="114"/>
      <c r="AB36" s="114"/>
      <c r="AC36" s="114">
        <v>185.4</v>
      </c>
      <c r="AD36" s="114">
        <v>2129.6</v>
      </c>
      <c r="AE36" s="114">
        <f>153418.6+91588.2</f>
        <v>245006.8</v>
      </c>
      <c r="AF36" s="114">
        <v>111788.6</v>
      </c>
      <c r="AG36" s="114"/>
      <c r="AH36" s="114"/>
      <c r="AI36" s="114"/>
      <c r="AJ36" s="114">
        <v>6772.2</v>
      </c>
      <c r="AK36" s="114">
        <f>20437.6+8978799.9</f>
        <v>8999237.5</v>
      </c>
      <c r="AL36" s="114"/>
      <c r="AM36" s="114"/>
      <c r="AN36" s="114"/>
      <c r="AO36" s="114"/>
      <c r="AP36" s="114">
        <v>62385.599999999999</v>
      </c>
      <c r="AQ36" s="114">
        <f>3131083.9+106214.9</f>
        <v>3237298.8</v>
      </c>
      <c r="AR36" s="114"/>
      <c r="AS36" s="114">
        <v>6401.7</v>
      </c>
      <c r="AT36" s="114">
        <f>8.2+44456.8</f>
        <v>44465</v>
      </c>
      <c r="AU36" s="114"/>
      <c r="AV36" s="114"/>
      <c r="AW36" s="114"/>
      <c r="AX36" s="114"/>
      <c r="AY36" s="114"/>
      <c r="AZ36" s="114"/>
      <c r="BA36" s="114">
        <v>17079.8</v>
      </c>
      <c r="BB36" s="114">
        <v>239350.6</v>
      </c>
      <c r="BC36" s="114"/>
      <c r="BD36" s="114"/>
      <c r="BE36" s="114">
        <v>188</v>
      </c>
      <c r="BF36" s="114"/>
      <c r="BG36" s="114"/>
      <c r="BH36" s="114"/>
      <c r="BI36" s="114"/>
      <c r="BJ36" s="114">
        <v>14</v>
      </c>
      <c r="BK36" s="114" t="s">
        <v>934</v>
      </c>
      <c r="BL36" s="99"/>
      <c r="BM36" s="99"/>
      <c r="BN36" s="99"/>
      <c r="BO36" s="99"/>
      <c r="BP36" s="99">
        <v>18.8</v>
      </c>
      <c r="BQ36" s="99"/>
      <c r="BR36" s="99">
        <f>59.4+22.4</f>
        <v>81.8</v>
      </c>
      <c r="BS36" s="99">
        <v>1198.0999999999999</v>
      </c>
      <c r="BT36" s="99"/>
      <c r="BU36" s="99"/>
      <c r="BV36" s="99"/>
      <c r="BW36" s="99"/>
      <c r="BX36" s="99"/>
      <c r="BY36" s="99"/>
      <c r="BZ36" s="99"/>
      <c r="CA36" s="99"/>
      <c r="CB36" s="99"/>
      <c r="CC36" s="99">
        <v>21</v>
      </c>
      <c r="CD36" s="99">
        <f>337.4+210.6</f>
        <v>548</v>
      </c>
      <c r="CE36" s="99"/>
      <c r="CF36" s="99"/>
      <c r="CG36" s="99"/>
      <c r="CH36" s="99">
        <f>42+6088.1</f>
        <v>6130.1</v>
      </c>
      <c r="CI36" s="99"/>
      <c r="CJ36" s="99"/>
      <c r="CK36" s="99">
        <v>3111.3</v>
      </c>
      <c r="CL36" s="99"/>
      <c r="CM36" s="99">
        <v>45.6</v>
      </c>
      <c r="CN36" s="99">
        <v>21</v>
      </c>
      <c r="CO36" s="99">
        <v>14</v>
      </c>
      <c r="CP36" s="99">
        <v>757.2</v>
      </c>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v>79.599999999999994</v>
      </c>
      <c r="EF36" s="99"/>
      <c r="EG36" s="99"/>
      <c r="EH36" s="99"/>
      <c r="EI36" s="99"/>
      <c r="EJ36" s="99"/>
      <c r="EK36" s="99"/>
      <c r="EL36" s="99">
        <v>14</v>
      </c>
      <c r="EM36" s="99"/>
      <c r="EN36" s="99"/>
      <c r="EO36" s="99"/>
      <c r="EP36" s="99"/>
      <c r="EQ36" s="99"/>
      <c r="ER36" s="99">
        <v>14</v>
      </c>
      <c r="ES36" s="99"/>
      <c r="ET36" s="99"/>
      <c r="EU36" s="99"/>
      <c r="EV36" s="99"/>
      <c r="EW36" s="99"/>
      <c r="EX36" s="99"/>
      <c r="EY36" s="99"/>
      <c r="EZ36" s="99"/>
      <c r="FA36" s="99"/>
      <c r="FB36" s="99"/>
      <c r="FC36" s="99"/>
      <c r="FD36" s="99"/>
      <c r="FE36" s="99"/>
      <c r="FF36" s="99">
        <v>514.79999999999995</v>
      </c>
      <c r="FG36" s="99"/>
      <c r="FH36" s="99"/>
      <c r="FI36" s="99"/>
      <c r="FJ36" s="99"/>
      <c r="FK36" s="99"/>
      <c r="FL36" s="99"/>
      <c r="FM36" s="100">
        <f>7260.7+7</f>
        <v>7267.7</v>
      </c>
      <c r="FN36" s="99"/>
      <c r="FO36" s="99"/>
      <c r="FP36" s="99">
        <v>22.2</v>
      </c>
      <c r="FQ36" s="99"/>
      <c r="FR36" s="99"/>
      <c r="FS36" s="99"/>
      <c r="FT36" s="99">
        <v>14</v>
      </c>
      <c r="FU36" s="99"/>
      <c r="FV36" s="99">
        <v>7</v>
      </c>
      <c r="FW36" s="99"/>
      <c r="FX36" s="99"/>
      <c r="FY36" s="99"/>
      <c r="FZ36" s="99"/>
      <c r="GA36" s="99"/>
      <c r="GB36" s="99"/>
      <c r="GC36" s="99">
        <v>63</v>
      </c>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v>28</v>
      </c>
      <c r="HB36" s="99"/>
      <c r="HC36" s="99"/>
      <c r="HD36" s="99"/>
      <c r="HE36" s="99"/>
      <c r="HF36" s="99"/>
      <c r="HG36" s="99"/>
      <c r="HH36" s="99"/>
      <c r="HI36" s="99">
        <v>49.2</v>
      </c>
      <c r="HJ36" s="99"/>
      <c r="HK36" s="99"/>
      <c r="HL36" s="99"/>
      <c r="HM36" s="99"/>
      <c r="HN36" s="99"/>
      <c r="HO36" s="99"/>
      <c r="HP36" s="99"/>
      <c r="HQ36" s="99"/>
      <c r="HR36" s="99"/>
      <c r="HS36" s="99"/>
      <c r="HT36" s="99"/>
      <c r="HU36" s="99"/>
      <c r="HV36" s="99"/>
      <c r="HW36" s="99"/>
      <c r="HX36" s="99"/>
      <c r="HY36" s="99"/>
      <c r="HZ36" s="99"/>
      <c r="IA36" s="99">
        <v>250.2</v>
      </c>
      <c r="IB36" s="99"/>
      <c r="IC36" s="99"/>
      <c r="ID36" s="99"/>
      <c r="IE36" s="99"/>
      <c r="IF36" s="99"/>
      <c r="IG36" s="99"/>
      <c r="IH36" s="99"/>
      <c r="II36" s="99"/>
      <c r="IJ36" s="99">
        <v>16.399999999999999</v>
      </c>
      <c r="IK36" s="99">
        <v>35</v>
      </c>
      <c r="IL36" s="99"/>
      <c r="IM36" s="99"/>
      <c r="IN36" s="99"/>
      <c r="IO36" s="99"/>
      <c r="IP36" s="99"/>
      <c r="IQ36" s="99"/>
      <c r="IR36" s="99">
        <v>1320350.3</v>
      </c>
      <c r="IS36" s="99"/>
      <c r="IT36" s="99"/>
      <c r="IU36" s="99">
        <v>14</v>
      </c>
      <c r="IV36" s="99"/>
      <c r="IW36" s="99"/>
      <c r="IX36" s="99">
        <v>64.400000000000006</v>
      </c>
      <c r="IY36" s="99"/>
      <c r="IZ36" s="99"/>
      <c r="JA36" s="99"/>
      <c r="JB36" s="99"/>
      <c r="JC36" s="99">
        <v>2698.9</v>
      </c>
      <c r="JD36" s="99"/>
      <c r="JE36" s="99"/>
      <c r="JF36" s="99"/>
      <c r="JG36" s="99"/>
      <c r="JH36" s="99"/>
      <c r="JI36" s="99"/>
      <c r="JJ36" s="99"/>
      <c r="JK36" s="99"/>
      <c r="JL36" s="99"/>
      <c r="JM36" s="99"/>
      <c r="JN36" s="99"/>
      <c r="JO36" s="99"/>
      <c r="JP36" s="99"/>
      <c r="JQ36" s="99"/>
      <c r="JR36" s="99"/>
      <c r="JS36" s="99"/>
      <c r="JT36" s="99"/>
      <c r="JU36" s="99"/>
      <c r="JV36" s="99"/>
      <c r="JW36" s="99"/>
      <c r="JX36" s="99"/>
      <c r="JY36" s="99"/>
      <c r="JZ36" s="99">
        <f>3344.3+60642.4</f>
        <v>63986.700000000004</v>
      </c>
      <c r="KA36" s="99"/>
      <c r="KB36" s="99"/>
      <c r="KC36" s="99"/>
      <c r="KD36" s="99"/>
      <c r="KE36" s="99"/>
      <c r="KF36" s="99"/>
      <c r="KG36" s="99"/>
      <c r="KH36" s="99"/>
      <c r="KI36" s="99">
        <v>391.6</v>
      </c>
      <c r="KJ36" s="99"/>
      <c r="KK36" s="99"/>
      <c r="KL36" s="99"/>
      <c r="KM36" s="99"/>
      <c r="KN36" s="99"/>
      <c r="KO36" s="99"/>
      <c r="KP36" s="99">
        <v>14</v>
      </c>
      <c r="KQ36" s="99"/>
      <c r="KR36" s="99">
        <v>91</v>
      </c>
      <c r="KS36" s="99">
        <v>7</v>
      </c>
      <c r="KT36" s="99"/>
      <c r="KU36" s="99"/>
      <c r="KV36" s="99"/>
      <c r="KW36" s="99"/>
      <c r="KX36" s="99">
        <v>10961.2</v>
      </c>
      <c r="KY36" s="99"/>
      <c r="KZ36" s="99">
        <v>7</v>
      </c>
      <c r="LA36" s="99"/>
      <c r="LB36" s="99"/>
      <c r="LC36" s="99"/>
      <c r="LD36" s="99"/>
      <c r="LE36" s="99"/>
      <c r="LF36" s="99"/>
      <c r="LG36" s="99"/>
      <c r="LH36" s="99"/>
      <c r="LI36" s="99"/>
      <c r="LJ36" s="99"/>
      <c r="LK36" s="99"/>
      <c r="LL36" s="99"/>
      <c r="LM36" s="99"/>
      <c r="LN36" s="99"/>
      <c r="LO36" s="99"/>
      <c r="LP36" s="99"/>
      <c r="LQ36" s="99"/>
      <c r="LR36" s="99"/>
      <c r="LS36" s="99"/>
      <c r="LT36" s="99"/>
      <c r="LU36" s="99"/>
      <c r="LV36" s="99"/>
      <c r="LW36" s="99"/>
      <c r="LX36" s="99"/>
      <c r="LY36" s="99"/>
      <c r="LZ36" s="99"/>
      <c r="MA36" s="99"/>
      <c r="MB36" s="99"/>
      <c r="MC36" s="99"/>
      <c r="MD36" s="99">
        <v>788.8</v>
      </c>
      <c r="ME36" s="99"/>
      <c r="MF36" s="99"/>
      <c r="MG36" s="99"/>
      <c r="MH36" s="99"/>
      <c r="MI36" s="99"/>
      <c r="MJ36" s="99"/>
      <c r="MK36" s="99"/>
      <c r="ML36" s="99"/>
      <c r="MM36" s="99"/>
      <c r="MN36" s="99"/>
      <c r="MO36" s="99"/>
      <c r="MP36" s="99"/>
      <c r="MQ36" s="99"/>
      <c r="MR36" s="99"/>
      <c r="MS36" s="99"/>
      <c r="MT36" s="99"/>
      <c r="MU36" s="99"/>
      <c r="MV36" s="99"/>
      <c r="MW36" s="99"/>
      <c r="MX36" s="99"/>
      <c r="MY36" s="99"/>
      <c r="MZ36" s="99"/>
      <c r="NA36" s="99"/>
      <c r="NB36" s="99"/>
      <c r="NC36" s="99"/>
      <c r="ND36" s="99"/>
      <c r="NE36" s="99"/>
      <c r="NF36" s="99"/>
      <c r="NG36" s="99"/>
      <c r="NH36" s="99"/>
      <c r="NI36" s="99"/>
      <c r="NJ36" s="99"/>
      <c r="NK36" s="99">
        <v>15.2</v>
      </c>
      <c r="NL36" s="99">
        <v>7</v>
      </c>
      <c r="NM36" s="99"/>
      <c r="NN36" s="99"/>
      <c r="NO36" s="99"/>
      <c r="NP36" s="99"/>
      <c r="NQ36" s="99"/>
      <c r="NR36" s="99"/>
      <c r="NS36" s="99"/>
      <c r="NT36" s="99"/>
      <c r="NU36" s="99"/>
      <c r="NV36" s="99"/>
      <c r="NW36" s="99"/>
      <c r="NX36" s="99"/>
      <c r="NY36" s="99"/>
      <c r="NZ36" s="99"/>
      <c r="OA36" s="99"/>
      <c r="OB36" s="99"/>
      <c r="OC36" s="99"/>
      <c r="OD36" s="99"/>
      <c r="OE36" s="99"/>
      <c r="OF36" s="99"/>
      <c r="OG36" s="99"/>
      <c r="OH36" s="99"/>
      <c r="OI36" s="99">
        <v>94.6</v>
      </c>
      <c r="OJ36" s="99"/>
      <c r="OK36" s="99"/>
      <c r="OL36" s="99">
        <v>4929.7</v>
      </c>
      <c r="OM36" s="99">
        <v>38.6</v>
      </c>
      <c r="ON36" s="99">
        <v>9.4</v>
      </c>
      <c r="OO36" s="99"/>
      <c r="OP36" s="99"/>
      <c r="OQ36" s="99"/>
      <c r="OR36" s="99"/>
      <c r="OS36" s="99">
        <f>33+71.4</f>
        <v>104.4</v>
      </c>
      <c r="OT36" s="99"/>
      <c r="OU36" s="99"/>
      <c r="OV36" s="99"/>
      <c r="OW36" s="99"/>
      <c r="OX36" s="99"/>
      <c r="OY36" s="99"/>
      <c r="OZ36" s="99">
        <v>51463.5</v>
      </c>
      <c r="PA36" s="99"/>
      <c r="PB36" s="99"/>
      <c r="PC36" s="99"/>
      <c r="PD36" s="99"/>
      <c r="PE36" s="99"/>
      <c r="PF36" s="99"/>
      <c r="PG36" s="99">
        <v>658</v>
      </c>
      <c r="PH36" s="99">
        <v>18.8</v>
      </c>
      <c r="PI36" s="99"/>
      <c r="PJ36" s="99"/>
      <c r="PK36" s="99"/>
      <c r="PL36" s="99"/>
      <c r="PM36" s="99"/>
      <c r="PN36" s="99"/>
      <c r="PO36" s="99"/>
      <c r="PP36" s="99"/>
      <c r="PQ36" s="99"/>
      <c r="PR36" s="99"/>
      <c r="PS36" s="99"/>
      <c r="PT36" s="99"/>
      <c r="PU36" s="99">
        <v>7</v>
      </c>
      <c r="PV36" s="99"/>
      <c r="PW36" s="99">
        <v>2046</v>
      </c>
      <c r="PX36" s="99">
        <v>8.1999999999999993</v>
      </c>
      <c r="PY36" s="99"/>
      <c r="PZ36" s="99"/>
      <c r="QA36" s="99">
        <v>38.6</v>
      </c>
      <c r="QB36" s="99">
        <v>7</v>
      </c>
      <c r="QC36" s="99">
        <v>61</v>
      </c>
      <c r="QD36" s="99"/>
      <c r="QE36" s="99">
        <v>36.4</v>
      </c>
      <c r="QF36" s="99"/>
      <c r="QG36" s="99"/>
      <c r="QH36" s="99"/>
      <c r="QI36" s="99">
        <v>477.2</v>
      </c>
      <c r="QJ36" s="99"/>
      <c r="QK36" s="99"/>
      <c r="QL36" s="99"/>
      <c r="QM36" s="99"/>
      <c r="QN36" s="99"/>
      <c r="QO36" s="99"/>
      <c r="QP36" s="99"/>
      <c r="QQ36" s="99"/>
      <c r="QR36" s="99"/>
      <c r="QS36" s="99"/>
      <c r="QT36" s="99"/>
      <c r="QU36" s="99"/>
      <c r="QV36" s="99"/>
      <c r="QW36" s="99"/>
      <c r="QX36" s="99"/>
      <c r="QY36" s="99"/>
      <c r="QZ36" s="99"/>
      <c r="RA36" s="99"/>
      <c r="RB36" s="99"/>
      <c r="RC36" s="99"/>
      <c r="RD36" s="99"/>
      <c r="RE36" s="99"/>
      <c r="RF36" s="99"/>
      <c r="RG36" s="99"/>
      <c r="RH36" s="99"/>
      <c r="RI36" s="99"/>
      <c r="RJ36" s="99"/>
      <c r="RK36" s="99"/>
      <c r="RL36" s="99"/>
      <c r="RM36" s="99"/>
      <c r="RN36" s="99"/>
    </row>
    <row r="37" spans="1:482" s="60" customFormat="1" ht="11.25" customHeight="1" x14ac:dyDescent="0.2">
      <c r="A37" s="125" t="s">
        <v>775</v>
      </c>
      <c r="B37" s="176" t="s">
        <v>776</v>
      </c>
      <c r="C37" s="176"/>
      <c r="D37" s="116">
        <f>SUM(E37:RR37)</f>
        <v>0</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t="s">
        <v>912</v>
      </c>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c r="IV37" s="99"/>
      <c r="IW37" s="99"/>
      <c r="IX37" s="99"/>
      <c r="IY37" s="99"/>
      <c r="IZ37" s="99"/>
      <c r="JA37" s="99"/>
      <c r="JB37" s="99"/>
      <c r="JC37" s="99"/>
      <c r="JD37" s="99"/>
      <c r="JE37" s="99"/>
      <c r="JF37" s="99"/>
      <c r="JG37" s="99"/>
      <c r="JH37" s="99"/>
      <c r="JI37" s="99"/>
      <c r="JJ37" s="99"/>
      <c r="JK37" s="99"/>
      <c r="JL37" s="99"/>
      <c r="JM37" s="99"/>
      <c r="JN37" s="99"/>
      <c r="JO37" s="99"/>
      <c r="JP37" s="99"/>
      <c r="JQ37" s="99"/>
      <c r="JR37" s="99"/>
      <c r="JS37" s="99"/>
      <c r="JT37" s="99"/>
      <c r="JU37" s="99"/>
      <c r="JV37" s="99"/>
      <c r="JW37" s="99"/>
      <c r="JX37" s="99"/>
      <c r="JY37" s="99"/>
      <c r="JZ37" s="99"/>
      <c r="KA37" s="99"/>
      <c r="KB37" s="99"/>
      <c r="KC37" s="99"/>
      <c r="KD37" s="99"/>
      <c r="KE37" s="99"/>
      <c r="KF37" s="99"/>
      <c r="KG37" s="99"/>
      <c r="KH37" s="99"/>
      <c r="KI37" s="99"/>
      <c r="KJ37" s="99"/>
      <c r="KK37" s="99"/>
      <c r="KL37" s="99"/>
      <c r="KM37" s="99"/>
      <c r="KN37" s="99"/>
      <c r="KO37" s="99"/>
      <c r="KP37" s="99"/>
      <c r="KQ37" s="99"/>
      <c r="KR37" s="99"/>
      <c r="KS37" s="99"/>
      <c r="KT37" s="99"/>
      <c r="KU37" s="99"/>
      <c r="KV37" s="99"/>
      <c r="KW37" s="99"/>
      <c r="KX37" s="99"/>
      <c r="KY37" s="99"/>
      <c r="KZ37" s="99"/>
      <c r="LA37" s="99"/>
      <c r="LB37" s="99"/>
      <c r="LC37" s="99"/>
      <c r="LD37" s="99"/>
      <c r="LE37" s="99"/>
      <c r="LF37" s="99"/>
      <c r="LG37" s="99"/>
      <c r="LH37" s="99"/>
      <c r="LI37" s="99"/>
      <c r="LJ37" s="99"/>
      <c r="LK37" s="99"/>
      <c r="LL37" s="99"/>
      <c r="LM37" s="99"/>
      <c r="LN37" s="99"/>
      <c r="LO37" s="99"/>
      <c r="LP37" s="99"/>
      <c r="LQ37" s="99"/>
      <c r="LR37" s="99"/>
      <c r="LS37" s="99"/>
      <c r="LT37" s="99"/>
      <c r="LU37" s="99"/>
      <c r="LV37" s="99"/>
      <c r="LW37" s="99"/>
      <c r="LX37" s="99"/>
      <c r="LY37" s="99"/>
      <c r="LZ37" s="99"/>
      <c r="MA37" s="99"/>
      <c r="MB37" s="99"/>
      <c r="MC37" s="99"/>
      <c r="MD37" s="99"/>
      <c r="ME37" s="99"/>
      <c r="MF37" s="99"/>
      <c r="MG37" s="99"/>
      <c r="MH37" s="99"/>
      <c r="MI37" s="99"/>
      <c r="MJ37" s="99"/>
      <c r="MK37" s="99"/>
      <c r="ML37" s="99"/>
      <c r="MM37" s="99"/>
      <c r="MN37" s="99"/>
      <c r="MO37" s="99"/>
      <c r="MP37" s="99"/>
      <c r="MQ37" s="99"/>
      <c r="MR37" s="99"/>
      <c r="MS37" s="99"/>
      <c r="MT37" s="99"/>
      <c r="MU37" s="99"/>
      <c r="MV37" s="99"/>
      <c r="MW37" s="99"/>
      <c r="MX37" s="99"/>
      <c r="MY37" s="99"/>
      <c r="MZ37" s="99"/>
      <c r="NA37" s="99"/>
      <c r="NB37" s="99"/>
      <c r="NC37" s="99"/>
      <c r="ND37" s="99"/>
      <c r="NE37" s="99"/>
      <c r="NF37" s="99"/>
      <c r="NG37" s="99"/>
      <c r="NH37" s="99"/>
      <c r="NI37" s="99"/>
      <c r="NJ37" s="99"/>
      <c r="NK37" s="99"/>
      <c r="NL37" s="99"/>
      <c r="NM37" s="99"/>
      <c r="NN37" s="99"/>
      <c r="NO37" s="99"/>
      <c r="NP37" s="99"/>
      <c r="NQ37" s="99"/>
      <c r="NR37" s="99"/>
      <c r="NS37" s="99"/>
      <c r="NT37" s="99"/>
      <c r="NU37" s="99"/>
      <c r="NV37" s="99"/>
      <c r="NW37" s="99"/>
      <c r="NX37" s="99"/>
      <c r="NY37" s="99"/>
      <c r="NZ37" s="99"/>
      <c r="OA37" s="99"/>
      <c r="OB37" s="99"/>
      <c r="OC37" s="99"/>
      <c r="OD37" s="99"/>
      <c r="OE37" s="99"/>
      <c r="OF37" s="99"/>
      <c r="OG37" s="99"/>
      <c r="OH37" s="99"/>
      <c r="OI37" s="99"/>
      <c r="OJ37" s="99"/>
      <c r="OK37" s="99"/>
      <c r="OL37" s="99"/>
      <c r="OM37" s="99"/>
      <c r="ON37" s="99"/>
      <c r="OO37" s="99"/>
      <c r="OP37" s="99"/>
      <c r="OQ37" s="99"/>
      <c r="OR37" s="99"/>
      <c r="OS37" s="99"/>
      <c r="OT37" s="99"/>
      <c r="OU37" s="99"/>
      <c r="OV37" s="99"/>
      <c r="OW37" s="99"/>
      <c r="OX37" s="99"/>
      <c r="OY37" s="99"/>
      <c r="OZ37" s="99"/>
      <c r="PA37" s="99"/>
      <c r="PB37" s="99"/>
      <c r="PC37" s="99"/>
      <c r="PD37" s="99"/>
      <c r="PE37" s="99"/>
      <c r="PF37" s="99"/>
      <c r="PG37" s="99"/>
      <c r="PH37" s="99"/>
      <c r="PI37" s="99"/>
      <c r="PJ37" s="99"/>
      <c r="PK37" s="99"/>
      <c r="PL37" s="99"/>
      <c r="PM37" s="99"/>
      <c r="PN37" s="99"/>
      <c r="PO37" s="99"/>
      <c r="PP37" s="99"/>
      <c r="PQ37" s="99"/>
      <c r="PR37" s="99"/>
      <c r="PS37" s="99"/>
      <c r="PT37" s="99"/>
      <c r="PU37" s="99"/>
      <c r="PV37" s="99"/>
      <c r="PW37" s="99"/>
      <c r="PX37" s="99"/>
      <c r="PY37" s="99"/>
      <c r="PZ37" s="99"/>
      <c r="QA37" s="99"/>
      <c r="QB37" s="99"/>
      <c r="QC37" s="99"/>
      <c r="QD37" s="99"/>
      <c r="QE37" s="99"/>
      <c r="QF37" s="99"/>
      <c r="QG37" s="99"/>
      <c r="QH37" s="99"/>
      <c r="QI37" s="99"/>
      <c r="QJ37" s="99"/>
      <c r="QK37" s="99"/>
      <c r="QL37" s="99"/>
      <c r="QM37" s="99"/>
      <c r="QN37" s="99"/>
      <c r="QO37" s="99"/>
      <c r="QP37" s="99"/>
      <c r="QQ37" s="99"/>
      <c r="QR37" s="99"/>
      <c r="QS37" s="99"/>
      <c r="QT37" s="99"/>
      <c r="QU37" s="99"/>
      <c r="QV37" s="99"/>
      <c r="QW37" s="99"/>
      <c r="QX37" s="99"/>
      <c r="QY37" s="99"/>
      <c r="QZ37" s="99"/>
      <c r="RA37" s="99"/>
      <c r="RB37" s="99"/>
      <c r="RC37" s="99"/>
      <c r="RD37" s="99"/>
      <c r="RE37" s="99"/>
      <c r="RF37" s="99"/>
      <c r="RG37" s="99"/>
      <c r="RH37" s="99"/>
      <c r="RI37" s="99"/>
      <c r="RJ37" s="99"/>
      <c r="RK37" s="99"/>
      <c r="RL37" s="99"/>
      <c r="RM37" s="99"/>
      <c r="RN37" s="99"/>
    </row>
    <row r="38" spans="1:482" s="60" customFormat="1" ht="11.25" customHeight="1" x14ac:dyDescent="0.2">
      <c r="A38" s="124" t="s">
        <v>777</v>
      </c>
      <c r="B38" s="176" t="s">
        <v>778</v>
      </c>
      <c r="C38" s="176"/>
      <c r="D38" s="116">
        <f>SUM(E38:RR38)</f>
        <v>33122.300000000003</v>
      </c>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t="s">
        <v>935</v>
      </c>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v>503.7</v>
      </c>
      <c r="CK38" s="99"/>
      <c r="CL38" s="99"/>
      <c r="CM38" s="99"/>
      <c r="CN38" s="99"/>
      <c r="CO38" s="99"/>
      <c r="CP38" s="99"/>
      <c r="CQ38" s="99"/>
      <c r="CR38" s="99"/>
      <c r="CS38" s="99"/>
      <c r="CT38" s="99"/>
      <c r="CU38" s="99"/>
      <c r="CV38" s="99"/>
      <c r="CW38" s="99"/>
      <c r="CX38" s="99"/>
      <c r="CY38" s="99">
        <v>362.7</v>
      </c>
      <c r="CZ38" s="99"/>
      <c r="DA38" s="99"/>
      <c r="DB38" s="99"/>
      <c r="DC38" s="99"/>
      <c r="DD38" s="99"/>
      <c r="DE38" s="99"/>
      <c r="DF38" s="99"/>
      <c r="DG38" s="99">
        <v>3625.5</v>
      </c>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c r="IV38" s="99">
        <v>17485.400000000001</v>
      </c>
      <c r="IW38" s="99"/>
      <c r="IX38" s="99"/>
      <c r="IY38" s="99"/>
      <c r="IZ38" s="99"/>
      <c r="JA38" s="99"/>
      <c r="JB38" s="99"/>
      <c r="JC38" s="99"/>
      <c r="JD38" s="99"/>
      <c r="JE38" s="99"/>
      <c r="JF38" s="99"/>
      <c r="JG38" s="99"/>
      <c r="JH38" s="99"/>
      <c r="JI38" s="99"/>
      <c r="JJ38" s="99"/>
      <c r="JK38" s="99"/>
      <c r="JL38" s="99"/>
      <c r="JM38" s="99"/>
      <c r="JN38" s="99"/>
      <c r="JO38" s="99"/>
      <c r="JP38" s="99"/>
      <c r="JQ38" s="99"/>
      <c r="JR38" s="99"/>
      <c r="JS38" s="99"/>
      <c r="JT38" s="99"/>
      <c r="JU38" s="99"/>
      <c r="JV38" s="99"/>
      <c r="JW38" s="99"/>
      <c r="JX38" s="99"/>
      <c r="JY38" s="99"/>
      <c r="JZ38" s="99"/>
      <c r="KA38" s="99"/>
      <c r="KB38" s="99"/>
      <c r="KC38" s="99"/>
      <c r="KD38" s="99"/>
      <c r="KE38" s="99"/>
      <c r="KF38" s="99"/>
      <c r="KG38" s="99"/>
      <c r="KH38" s="99"/>
      <c r="KI38" s="99"/>
      <c r="KJ38" s="99"/>
      <c r="KK38" s="99"/>
      <c r="KL38" s="99"/>
      <c r="KM38" s="99"/>
      <c r="KN38" s="99"/>
      <c r="KO38" s="99"/>
      <c r="KP38" s="99"/>
      <c r="KQ38" s="99"/>
      <c r="KR38" s="99"/>
      <c r="KS38" s="99"/>
      <c r="KT38" s="99"/>
      <c r="KU38" s="99"/>
      <c r="KV38" s="99"/>
      <c r="KW38" s="99"/>
      <c r="KX38" s="99"/>
      <c r="KY38" s="99">
        <v>273.39999999999998</v>
      </c>
      <c r="KZ38" s="99"/>
      <c r="LA38" s="99"/>
      <c r="LB38" s="99"/>
      <c r="LC38" s="99"/>
      <c r="LD38" s="99"/>
      <c r="LE38" s="99"/>
      <c r="LF38" s="99"/>
      <c r="LG38" s="99"/>
      <c r="LH38" s="99"/>
      <c r="LI38" s="99"/>
      <c r="LJ38" s="99"/>
      <c r="LK38" s="99"/>
      <c r="LL38" s="99"/>
      <c r="LM38" s="99"/>
      <c r="LN38" s="99"/>
      <c r="LO38" s="99"/>
      <c r="LP38" s="99"/>
      <c r="LQ38" s="99"/>
      <c r="LR38" s="99"/>
      <c r="LS38" s="99"/>
      <c r="LT38" s="99"/>
      <c r="LU38" s="99"/>
      <c r="LV38" s="99"/>
      <c r="LW38" s="99"/>
      <c r="LX38" s="99"/>
      <c r="LY38" s="99"/>
      <c r="LZ38" s="99"/>
      <c r="MA38" s="99"/>
      <c r="MB38" s="99"/>
      <c r="MC38" s="99"/>
      <c r="MD38" s="99"/>
      <c r="ME38" s="99"/>
      <c r="MF38" s="99"/>
      <c r="MG38" s="99"/>
      <c r="MH38" s="99"/>
      <c r="MI38" s="99"/>
      <c r="MJ38" s="99"/>
      <c r="MK38" s="99"/>
      <c r="ML38" s="99"/>
      <c r="MM38" s="99"/>
      <c r="MN38" s="99"/>
      <c r="MO38" s="99"/>
      <c r="MP38" s="99"/>
      <c r="MQ38" s="99"/>
      <c r="MR38" s="99"/>
      <c r="MS38" s="99"/>
      <c r="MT38" s="99"/>
      <c r="MU38" s="99"/>
      <c r="MV38" s="99"/>
      <c r="MW38" s="99"/>
      <c r="MX38" s="99"/>
      <c r="MY38" s="99"/>
      <c r="MZ38" s="99"/>
      <c r="NA38" s="99"/>
      <c r="NB38" s="99"/>
      <c r="NC38" s="99"/>
      <c r="ND38" s="99"/>
      <c r="NE38" s="99"/>
      <c r="NF38" s="99"/>
      <c r="NG38" s="99"/>
      <c r="NH38" s="99"/>
      <c r="NI38" s="99"/>
      <c r="NJ38" s="99"/>
      <c r="NK38" s="99"/>
      <c r="NL38" s="99"/>
      <c r="NM38" s="99"/>
      <c r="NN38" s="99"/>
      <c r="NO38" s="99"/>
      <c r="NP38" s="99"/>
      <c r="NQ38" s="99"/>
      <c r="NR38" s="99"/>
      <c r="NS38" s="99"/>
      <c r="NT38" s="99"/>
      <c r="NU38" s="99"/>
      <c r="NV38" s="99"/>
      <c r="NW38" s="99"/>
      <c r="NX38" s="99"/>
      <c r="NY38" s="99"/>
      <c r="NZ38" s="99"/>
      <c r="OA38" s="99"/>
      <c r="OB38" s="99"/>
      <c r="OC38" s="99"/>
      <c r="OD38" s="99"/>
      <c r="OE38" s="99"/>
      <c r="OF38" s="99"/>
      <c r="OG38" s="99"/>
      <c r="OH38" s="99"/>
      <c r="OI38" s="99"/>
      <c r="OJ38" s="99"/>
      <c r="OK38" s="99"/>
      <c r="OL38" s="99"/>
      <c r="OM38" s="99"/>
      <c r="ON38" s="99"/>
      <c r="OO38" s="99"/>
      <c r="OP38" s="99"/>
      <c r="OQ38" s="99"/>
      <c r="OR38" s="99"/>
      <c r="OS38" s="99"/>
      <c r="OT38" s="99"/>
      <c r="OU38" s="99"/>
      <c r="OV38" s="99"/>
      <c r="OW38" s="99"/>
      <c r="OX38" s="99"/>
      <c r="OY38" s="99"/>
      <c r="OZ38" s="99"/>
      <c r="PA38" s="99"/>
      <c r="PB38" s="99"/>
      <c r="PC38" s="99"/>
      <c r="PD38" s="99"/>
      <c r="PE38" s="99"/>
      <c r="PF38" s="99"/>
      <c r="PG38" s="99"/>
      <c r="PH38" s="99"/>
      <c r="PI38" s="99"/>
      <c r="PJ38" s="99"/>
      <c r="PK38" s="99"/>
      <c r="PL38" s="99"/>
      <c r="PM38" s="99"/>
      <c r="PN38" s="99"/>
      <c r="PO38" s="99"/>
      <c r="PP38" s="99"/>
      <c r="PQ38" s="99"/>
      <c r="PR38" s="99"/>
      <c r="PS38" s="99"/>
      <c r="PT38" s="99"/>
      <c r="PU38" s="99"/>
      <c r="PV38" s="99"/>
      <c r="PW38" s="99"/>
      <c r="PX38" s="99"/>
      <c r="PY38" s="99"/>
      <c r="PZ38" s="99"/>
      <c r="QA38" s="99"/>
      <c r="QB38" s="99"/>
      <c r="QC38" s="99"/>
      <c r="QD38" s="99">
        <v>10871.6</v>
      </c>
      <c r="QE38" s="99"/>
      <c r="QF38" s="99"/>
      <c r="QG38" s="99"/>
      <c r="QH38" s="99"/>
      <c r="QI38" s="99"/>
      <c r="QJ38" s="99"/>
      <c r="QK38" s="99"/>
      <c r="QL38" s="99"/>
      <c r="QM38" s="99"/>
      <c r="QN38" s="99"/>
      <c r="QO38" s="99"/>
      <c r="QP38" s="99"/>
      <c r="QQ38" s="99"/>
      <c r="QR38" s="99"/>
      <c r="QS38" s="99"/>
      <c r="QT38" s="99"/>
      <c r="QU38" s="99"/>
      <c r="QV38" s="99"/>
      <c r="QW38" s="99"/>
      <c r="QX38" s="99"/>
      <c r="QY38" s="99"/>
      <c r="QZ38" s="99"/>
      <c r="RA38" s="99"/>
      <c r="RB38" s="99"/>
      <c r="RC38" s="99"/>
      <c r="RD38" s="99"/>
      <c r="RE38" s="99"/>
      <c r="RF38" s="99"/>
      <c r="RG38" s="99"/>
      <c r="RH38" s="99"/>
      <c r="RI38" s="99"/>
      <c r="RJ38" s="99"/>
      <c r="RK38" s="99"/>
      <c r="RL38" s="99"/>
      <c r="RM38" s="99"/>
      <c r="RN38" s="99"/>
    </row>
    <row r="39" spans="1:482" s="60" customFormat="1" ht="11.25" customHeight="1" x14ac:dyDescent="0.2">
      <c r="A39" s="125" t="s">
        <v>779</v>
      </c>
      <c r="B39" s="176" t="s">
        <v>780</v>
      </c>
      <c r="C39" s="176"/>
      <c r="D39" s="116">
        <f>SUM(E39:RR39)</f>
        <v>0</v>
      </c>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t="s">
        <v>912</v>
      </c>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c r="IW39" s="99"/>
      <c r="IX39" s="99"/>
      <c r="IY39" s="99"/>
      <c r="IZ39" s="99"/>
      <c r="JA39" s="99"/>
      <c r="JB39" s="99"/>
      <c r="JC39" s="99"/>
      <c r="JD39" s="99"/>
      <c r="JE39" s="99"/>
      <c r="JF39" s="99"/>
      <c r="JG39" s="99"/>
      <c r="JH39" s="99"/>
      <c r="JI39" s="99"/>
      <c r="JJ39" s="99"/>
      <c r="JK39" s="99"/>
      <c r="JL39" s="99"/>
      <c r="JM39" s="99"/>
      <c r="JN39" s="99"/>
      <c r="JO39" s="99"/>
      <c r="JP39" s="99"/>
      <c r="JQ39" s="99"/>
      <c r="JR39" s="99"/>
      <c r="JS39" s="99"/>
      <c r="JT39" s="99"/>
      <c r="JU39" s="99"/>
      <c r="JV39" s="99"/>
      <c r="JW39" s="99"/>
      <c r="JX39" s="99"/>
      <c r="JY39" s="99"/>
      <c r="JZ39" s="99"/>
      <c r="KA39" s="99"/>
      <c r="KB39" s="99"/>
      <c r="KC39" s="99"/>
      <c r="KD39" s="99"/>
      <c r="KE39" s="99"/>
      <c r="KF39" s="99"/>
      <c r="KG39" s="99"/>
      <c r="KH39" s="99"/>
      <c r="KI39" s="99"/>
      <c r="KJ39" s="99"/>
      <c r="KK39" s="99"/>
      <c r="KL39" s="99"/>
      <c r="KM39" s="99"/>
      <c r="KN39" s="99"/>
      <c r="KO39" s="99"/>
      <c r="KP39" s="99"/>
      <c r="KQ39" s="99"/>
      <c r="KR39" s="99"/>
      <c r="KS39" s="99"/>
      <c r="KT39" s="99"/>
      <c r="KU39" s="99"/>
      <c r="KV39" s="99"/>
      <c r="KW39" s="99"/>
      <c r="KX39" s="99"/>
      <c r="KY39" s="99"/>
      <c r="KZ39" s="99"/>
      <c r="LA39" s="99"/>
      <c r="LB39" s="99"/>
      <c r="LC39" s="99"/>
      <c r="LD39" s="99"/>
      <c r="LE39" s="99"/>
      <c r="LF39" s="99"/>
      <c r="LG39" s="99"/>
      <c r="LH39" s="99"/>
      <c r="LI39" s="99"/>
      <c r="LJ39" s="99"/>
      <c r="LK39" s="99"/>
      <c r="LL39" s="99"/>
      <c r="LM39" s="99"/>
      <c r="LN39" s="99"/>
      <c r="LO39" s="99"/>
      <c r="LP39" s="99"/>
      <c r="LQ39" s="99"/>
      <c r="LR39" s="99"/>
      <c r="LS39" s="99"/>
      <c r="LT39" s="99"/>
      <c r="LU39" s="99"/>
      <c r="LV39" s="99"/>
      <c r="LW39" s="99"/>
      <c r="LX39" s="99"/>
      <c r="LY39" s="99"/>
      <c r="LZ39" s="99"/>
      <c r="MA39" s="99"/>
      <c r="MB39" s="99"/>
      <c r="MC39" s="99"/>
      <c r="MD39" s="99"/>
      <c r="ME39" s="99"/>
      <c r="MF39" s="99"/>
      <c r="MG39" s="99"/>
      <c r="MH39" s="99"/>
      <c r="MI39" s="99"/>
      <c r="MJ39" s="99"/>
      <c r="MK39" s="99"/>
      <c r="ML39" s="99"/>
      <c r="MM39" s="99"/>
      <c r="MN39" s="99"/>
      <c r="MO39" s="99"/>
      <c r="MP39" s="99"/>
      <c r="MQ39" s="99"/>
      <c r="MR39" s="99"/>
      <c r="MS39" s="99"/>
      <c r="MT39" s="99"/>
      <c r="MU39" s="99"/>
      <c r="MV39" s="99"/>
      <c r="MW39" s="99"/>
      <c r="MX39" s="99"/>
      <c r="MY39" s="99"/>
      <c r="MZ39" s="99"/>
      <c r="NA39" s="99"/>
      <c r="NB39" s="99"/>
      <c r="NC39" s="99"/>
      <c r="ND39" s="99"/>
      <c r="NE39" s="99"/>
      <c r="NF39" s="99"/>
      <c r="NG39" s="99"/>
      <c r="NH39" s="99"/>
      <c r="NI39" s="99"/>
      <c r="NJ39" s="99"/>
      <c r="NK39" s="99"/>
      <c r="NL39" s="99"/>
      <c r="NM39" s="99"/>
      <c r="NN39" s="99"/>
      <c r="NO39" s="99"/>
      <c r="NP39" s="99"/>
      <c r="NQ39" s="99"/>
      <c r="NR39" s="99"/>
      <c r="NS39" s="99"/>
      <c r="NT39" s="99"/>
      <c r="NU39" s="99"/>
      <c r="NV39" s="99"/>
      <c r="NW39" s="99"/>
      <c r="NX39" s="99"/>
      <c r="NY39" s="99"/>
      <c r="NZ39" s="99"/>
      <c r="OA39" s="99"/>
      <c r="OB39" s="99"/>
      <c r="OC39" s="99"/>
      <c r="OD39" s="99"/>
      <c r="OE39" s="99"/>
      <c r="OF39" s="99"/>
      <c r="OG39" s="99"/>
      <c r="OH39" s="99"/>
      <c r="OI39" s="99"/>
      <c r="OJ39" s="99"/>
      <c r="OK39" s="99"/>
      <c r="OL39" s="99"/>
      <c r="OM39" s="99"/>
      <c r="ON39" s="99"/>
      <c r="OO39" s="99"/>
      <c r="OP39" s="99"/>
      <c r="OQ39" s="99"/>
      <c r="OR39" s="99"/>
      <c r="OS39" s="99"/>
      <c r="OT39" s="99"/>
      <c r="OU39" s="99"/>
      <c r="OV39" s="99"/>
      <c r="OW39" s="99"/>
      <c r="OX39" s="99"/>
      <c r="OY39" s="99"/>
      <c r="OZ39" s="99"/>
      <c r="PA39" s="99"/>
      <c r="PB39" s="99"/>
      <c r="PC39" s="99"/>
      <c r="PD39" s="99"/>
      <c r="PE39" s="99"/>
      <c r="PF39" s="99"/>
      <c r="PG39" s="99"/>
      <c r="PH39" s="99"/>
      <c r="PI39" s="99"/>
      <c r="PJ39" s="99"/>
      <c r="PK39" s="99"/>
      <c r="PL39" s="99"/>
      <c r="PM39" s="99"/>
      <c r="PN39" s="99"/>
      <c r="PO39" s="99"/>
      <c r="PP39" s="99"/>
      <c r="PQ39" s="99"/>
      <c r="PR39" s="99"/>
      <c r="PS39" s="99"/>
      <c r="PT39" s="99"/>
      <c r="PU39" s="99"/>
      <c r="PV39" s="99"/>
      <c r="PW39" s="99"/>
      <c r="PX39" s="99"/>
      <c r="PY39" s="99"/>
      <c r="PZ39" s="99"/>
      <c r="QA39" s="99"/>
      <c r="QB39" s="99"/>
      <c r="QC39" s="99"/>
      <c r="QD39" s="99"/>
      <c r="QE39" s="99"/>
      <c r="QF39" s="99"/>
      <c r="QG39" s="99"/>
      <c r="QH39" s="99"/>
      <c r="QI39" s="99"/>
      <c r="QJ39" s="99"/>
      <c r="QK39" s="99"/>
      <c r="QL39" s="99"/>
      <c r="QM39" s="99"/>
      <c r="QN39" s="99"/>
      <c r="QO39" s="99"/>
      <c r="QP39" s="99"/>
      <c r="QQ39" s="99"/>
      <c r="QR39" s="99"/>
      <c r="QS39" s="99"/>
      <c r="QT39" s="99"/>
      <c r="QU39" s="99"/>
      <c r="QV39" s="99"/>
      <c r="QW39" s="99"/>
      <c r="QX39" s="99"/>
      <c r="QY39" s="99"/>
      <c r="QZ39" s="99"/>
      <c r="RA39" s="99"/>
      <c r="RB39" s="99"/>
      <c r="RC39" s="99"/>
      <c r="RD39" s="99"/>
      <c r="RE39" s="99"/>
      <c r="RF39" s="99"/>
      <c r="RG39" s="99"/>
      <c r="RH39" s="99"/>
      <c r="RI39" s="99"/>
      <c r="RJ39" s="99"/>
      <c r="RK39" s="99"/>
      <c r="RL39" s="99"/>
      <c r="RM39" s="99"/>
      <c r="RN39" s="99"/>
    </row>
    <row r="40" spans="1:482" s="60" customFormat="1" ht="11.25" x14ac:dyDescent="0.2">
      <c r="A40" s="126" t="s">
        <v>866</v>
      </c>
      <c r="B40" s="163"/>
      <c r="C40" s="163"/>
      <c r="D40" s="156">
        <f t="shared" ref="D40:AI40" si="100">+D41</f>
        <v>40988859.900000006</v>
      </c>
      <c r="E40" s="142">
        <f t="shared" si="100"/>
        <v>0</v>
      </c>
      <c r="F40" s="142">
        <f t="shared" si="100"/>
        <v>0</v>
      </c>
      <c r="G40" s="142">
        <f t="shared" si="100"/>
        <v>0</v>
      </c>
      <c r="H40" s="142">
        <f t="shared" si="100"/>
        <v>0</v>
      </c>
      <c r="I40" s="142">
        <f t="shared" si="100"/>
        <v>0</v>
      </c>
      <c r="J40" s="142">
        <f t="shared" si="100"/>
        <v>0</v>
      </c>
      <c r="K40" s="142">
        <f t="shared" si="100"/>
        <v>0</v>
      </c>
      <c r="L40" s="142">
        <f t="shared" si="100"/>
        <v>0</v>
      </c>
      <c r="M40" s="142">
        <f t="shared" si="100"/>
        <v>0</v>
      </c>
      <c r="N40" s="142">
        <f t="shared" si="100"/>
        <v>0</v>
      </c>
      <c r="O40" s="142">
        <f t="shared" si="100"/>
        <v>0</v>
      </c>
      <c r="P40" s="142">
        <f t="shared" si="100"/>
        <v>0</v>
      </c>
      <c r="Q40" s="142">
        <f t="shared" si="100"/>
        <v>0</v>
      </c>
      <c r="R40" s="142">
        <f t="shared" si="100"/>
        <v>0</v>
      </c>
      <c r="S40" s="142">
        <f t="shared" si="100"/>
        <v>0</v>
      </c>
      <c r="T40" s="142">
        <f t="shared" si="100"/>
        <v>0</v>
      </c>
      <c r="U40" s="142">
        <f t="shared" si="100"/>
        <v>0</v>
      </c>
      <c r="V40" s="142">
        <f t="shared" si="100"/>
        <v>0</v>
      </c>
      <c r="W40" s="142">
        <f t="shared" si="100"/>
        <v>0</v>
      </c>
      <c r="X40" s="142">
        <f t="shared" si="100"/>
        <v>0</v>
      </c>
      <c r="Y40" s="142">
        <f t="shared" si="100"/>
        <v>0</v>
      </c>
      <c r="Z40" s="142">
        <f t="shared" si="100"/>
        <v>0</v>
      </c>
      <c r="AA40" s="142">
        <f t="shared" si="100"/>
        <v>0</v>
      </c>
      <c r="AB40" s="142">
        <f t="shared" si="100"/>
        <v>0</v>
      </c>
      <c r="AC40" s="142">
        <f t="shared" si="100"/>
        <v>0</v>
      </c>
      <c r="AD40" s="142">
        <f t="shared" si="100"/>
        <v>0</v>
      </c>
      <c r="AE40" s="142">
        <f t="shared" si="100"/>
        <v>40954187.700000003</v>
      </c>
      <c r="AF40" s="142">
        <f t="shared" si="100"/>
        <v>0</v>
      </c>
      <c r="AG40" s="142">
        <f t="shared" si="100"/>
        <v>0</v>
      </c>
      <c r="AH40" s="142">
        <f t="shared" si="100"/>
        <v>0</v>
      </c>
      <c r="AI40" s="142">
        <f t="shared" si="100"/>
        <v>0</v>
      </c>
      <c r="AJ40" s="142">
        <f t="shared" ref="AJ40:BJ40" si="101">+AJ41</f>
        <v>0</v>
      </c>
      <c r="AK40" s="142">
        <f t="shared" si="101"/>
        <v>0</v>
      </c>
      <c r="AL40" s="142">
        <f t="shared" si="101"/>
        <v>0</v>
      </c>
      <c r="AM40" s="142">
        <f t="shared" si="101"/>
        <v>0</v>
      </c>
      <c r="AN40" s="142">
        <f t="shared" si="101"/>
        <v>0</v>
      </c>
      <c r="AO40" s="142">
        <f t="shared" si="101"/>
        <v>34672.199999999997</v>
      </c>
      <c r="AP40" s="142">
        <f t="shared" si="101"/>
        <v>0</v>
      </c>
      <c r="AQ40" s="142">
        <f t="shared" si="101"/>
        <v>0</v>
      </c>
      <c r="AR40" s="142">
        <f t="shared" si="101"/>
        <v>0</v>
      </c>
      <c r="AS40" s="142">
        <f t="shared" si="101"/>
        <v>0</v>
      </c>
      <c r="AT40" s="142">
        <f t="shared" si="101"/>
        <v>0</v>
      </c>
      <c r="AU40" s="142">
        <f t="shared" si="101"/>
        <v>0</v>
      </c>
      <c r="AV40" s="142">
        <f t="shared" si="101"/>
        <v>0</v>
      </c>
      <c r="AW40" s="142">
        <f t="shared" si="101"/>
        <v>0</v>
      </c>
      <c r="AX40" s="142">
        <f t="shared" si="101"/>
        <v>0</v>
      </c>
      <c r="AY40" s="142">
        <f t="shared" si="101"/>
        <v>0</v>
      </c>
      <c r="AZ40" s="142">
        <f t="shared" si="101"/>
        <v>0</v>
      </c>
      <c r="BA40" s="142">
        <f t="shared" si="101"/>
        <v>0</v>
      </c>
      <c r="BB40" s="142">
        <f t="shared" si="101"/>
        <v>0</v>
      </c>
      <c r="BC40" s="142">
        <f t="shared" si="101"/>
        <v>0</v>
      </c>
      <c r="BD40" s="142">
        <f t="shared" si="101"/>
        <v>0</v>
      </c>
      <c r="BE40" s="142">
        <f t="shared" si="101"/>
        <v>0</v>
      </c>
      <c r="BF40" s="142">
        <f t="shared" si="101"/>
        <v>0</v>
      </c>
      <c r="BG40" s="142">
        <f t="shared" si="101"/>
        <v>0</v>
      </c>
      <c r="BH40" s="142">
        <f t="shared" si="101"/>
        <v>0</v>
      </c>
      <c r="BI40" s="142">
        <f t="shared" si="101"/>
        <v>0</v>
      </c>
      <c r="BJ40" s="142">
        <f t="shared" si="101"/>
        <v>0</v>
      </c>
      <c r="BK40" s="142" t="s">
        <v>936</v>
      </c>
      <c r="BL40" s="97">
        <f t="shared" ref="BL40:CL40" si="102">+BL41</f>
        <v>0</v>
      </c>
      <c r="BM40" s="97">
        <f t="shared" si="102"/>
        <v>0</v>
      </c>
      <c r="BN40" s="97">
        <f t="shared" si="102"/>
        <v>0</v>
      </c>
      <c r="BO40" s="97">
        <f t="shared" si="102"/>
        <v>0</v>
      </c>
      <c r="BP40" s="97">
        <f t="shared" si="102"/>
        <v>0</v>
      </c>
      <c r="BQ40" s="97">
        <f t="shared" si="102"/>
        <v>0</v>
      </c>
      <c r="BR40" s="97">
        <f t="shared" si="102"/>
        <v>0</v>
      </c>
      <c r="BS40" s="97">
        <f t="shared" si="102"/>
        <v>0</v>
      </c>
      <c r="BT40" s="97">
        <f t="shared" si="102"/>
        <v>0</v>
      </c>
      <c r="BU40" s="97">
        <f t="shared" si="102"/>
        <v>0</v>
      </c>
      <c r="BV40" s="97">
        <f t="shared" si="102"/>
        <v>0</v>
      </c>
      <c r="BW40" s="97">
        <f t="shared" si="102"/>
        <v>0</v>
      </c>
      <c r="BX40" s="97">
        <f t="shared" si="102"/>
        <v>0</v>
      </c>
      <c r="BY40" s="97">
        <f t="shared" si="102"/>
        <v>0</v>
      </c>
      <c r="BZ40" s="97">
        <f t="shared" si="102"/>
        <v>0</v>
      </c>
      <c r="CA40" s="97">
        <f t="shared" si="102"/>
        <v>0</v>
      </c>
      <c r="CB40" s="97">
        <f t="shared" si="102"/>
        <v>0</v>
      </c>
      <c r="CC40" s="97">
        <f t="shared" si="102"/>
        <v>0</v>
      </c>
      <c r="CD40" s="97">
        <f t="shared" si="102"/>
        <v>0</v>
      </c>
      <c r="CE40" s="97">
        <f t="shared" si="102"/>
        <v>0</v>
      </c>
      <c r="CF40" s="97">
        <f t="shared" si="102"/>
        <v>0</v>
      </c>
      <c r="CG40" s="97">
        <f t="shared" si="102"/>
        <v>0</v>
      </c>
      <c r="CH40" s="97">
        <f t="shared" si="102"/>
        <v>0</v>
      </c>
      <c r="CI40" s="97">
        <f t="shared" si="102"/>
        <v>0</v>
      </c>
      <c r="CJ40" s="97">
        <f t="shared" si="102"/>
        <v>0</v>
      </c>
      <c r="CK40" s="97">
        <f t="shared" si="102"/>
        <v>0</v>
      </c>
      <c r="CL40" s="97">
        <f t="shared" si="102"/>
        <v>0</v>
      </c>
      <c r="CM40" s="97">
        <f t="shared" ref="CM40:DR40" si="103">+CM41</f>
        <v>0</v>
      </c>
      <c r="CN40" s="97">
        <f t="shared" si="103"/>
        <v>0</v>
      </c>
      <c r="CO40" s="97">
        <f t="shared" si="103"/>
        <v>0</v>
      </c>
      <c r="CP40" s="97">
        <f t="shared" si="103"/>
        <v>0</v>
      </c>
      <c r="CQ40" s="97">
        <f t="shared" si="103"/>
        <v>0</v>
      </c>
      <c r="CR40" s="97">
        <f t="shared" si="103"/>
        <v>0</v>
      </c>
      <c r="CS40" s="97">
        <f t="shared" si="103"/>
        <v>0</v>
      </c>
      <c r="CT40" s="97">
        <f t="shared" si="103"/>
        <v>0</v>
      </c>
      <c r="CU40" s="97">
        <f t="shared" si="103"/>
        <v>0</v>
      </c>
      <c r="CV40" s="97">
        <f t="shared" si="103"/>
        <v>0</v>
      </c>
      <c r="CW40" s="97">
        <f t="shared" si="103"/>
        <v>0</v>
      </c>
      <c r="CX40" s="97">
        <f t="shared" si="103"/>
        <v>0</v>
      </c>
      <c r="CY40" s="97">
        <f t="shared" si="103"/>
        <v>0</v>
      </c>
      <c r="CZ40" s="97">
        <f t="shared" si="103"/>
        <v>0</v>
      </c>
      <c r="DA40" s="97">
        <f t="shared" si="103"/>
        <v>0</v>
      </c>
      <c r="DB40" s="97">
        <f t="shared" si="103"/>
        <v>0</v>
      </c>
      <c r="DC40" s="97">
        <f t="shared" si="103"/>
        <v>0</v>
      </c>
      <c r="DD40" s="97">
        <f t="shared" si="103"/>
        <v>0</v>
      </c>
      <c r="DE40" s="97">
        <f t="shared" si="103"/>
        <v>0</v>
      </c>
      <c r="DF40" s="97">
        <f t="shared" si="103"/>
        <v>0</v>
      </c>
      <c r="DG40" s="97">
        <f t="shared" si="103"/>
        <v>0</v>
      </c>
      <c r="DH40" s="97">
        <f t="shared" si="103"/>
        <v>0</v>
      </c>
      <c r="DI40" s="97">
        <f t="shared" si="103"/>
        <v>0</v>
      </c>
      <c r="DJ40" s="97">
        <f t="shared" si="103"/>
        <v>0</v>
      </c>
      <c r="DK40" s="97">
        <f t="shared" si="103"/>
        <v>0</v>
      </c>
      <c r="DL40" s="97">
        <f t="shared" si="103"/>
        <v>0</v>
      </c>
      <c r="DM40" s="97">
        <f t="shared" si="103"/>
        <v>0</v>
      </c>
      <c r="DN40" s="97">
        <f t="shared" si="103"/>
        <v>0</v>
      </c>
      <c r="DO40" s="97">
        <f t="shared" si="103"/>
        <v>0</v>
      </c>
      <c r="DP40" s="97">
        <f t="shared" si="103"/>
        <v>0</v>
      </c>
      <c r="DQ40" s="97">
        <f t="shared" si="103"/>
        <v>0</v>
      </c>
      <c r="DR40" s="97">
        <f t="shared" si="103"/>
        <v>0</v>
      </c>
      <c r="DS40" s="97">
        <f t="shared" ref="DS40:DY40" si="104">+DS41</f>
        <v>0</v>
      </c>
      <c r="DT40" s="97">
        <f t="shared" si="104"/>
        <v>0</v>
      </c>
      <c r="DU40" s="97">
        <f t="shared" si="104"/>
        <v>0</v>
      </c>
      <c r="DV40" s="97">
        <f t="shared" si="104"/>
        <v>0</v>
      </c>
      <c r="DW40" s="97">
        <f t="shared" si="104"/>
        <v>0</v>
      </c>
      <c r="DX40" s="97">
        <f t="shared" si="104"/>
        <v>0</v>
      </c>
      <c r="DY40" s="97">
        <f t="shared" si="104"/>
        <v>0</v>
      </c>
      <c r="DZ40" s="99"/>
      <c r="EA40" s="99"/>
      <c r="EB40" s="97">
        <f t="shared" ref="EB40:EV40" si="105">+EB41</f>
        <v>0</v>
      </c>
      <c r="EC40" s="97">
        <f t="shared" si="105"/>
        <v>0</v>
      </c>
      <c r="ED40" s="97">
        <f t="shared" si="105"/>
        <v>0</v>
      </c>
      <c r="EE40" s="97">
        <f t="shared" si="105"/>
        <v>0</v>
      </c>
      <c r="EF40" s="97">
        <f t="shared" si="105"/>
        <v>0</v>
      </c>
      <c r="EG40" s="97">
        <f t="shared" si="105"/>
        <v>0</v>
      </c>
      <c r="EH40" s="97">
        <f t="shared" si="105"/>
        <v>0</v>
      </c>
      <c r="EI40" s="97">
        <f t="shared" si="105"/>
        <v>0</v>
      </c>
      <c r="EJ40" s="97">
        <f t="shared" si="105"/>
        <v>0</v>
      </c>
      <c r="EK40" s="97">
        <f>+EK41</f>
        <v>0</v>
      </c>
      <c r="EL40" s="97">
        <f t="shared" si="105"/>
        <v>0</v>
      </c>
      <c r="EM40" s="97">
        <f t="shared" si="105"/>
        <v>0</v>
      </c>
      <c r="EN40" s="97">
        <f t="shared" si="105"/>
        <v>0</v>
      </c>
      <c r="EO40" s="97">
        <f t="shared" si="105"/>
        <v>0</v>
      </c>
      <c r="EP40" s="97">
        <f t="shared" si="105"/>
        <v>0</v>
      </c>
      <c r="EQ40" s="97">
        <f t="shared" si="105"/>
        <v>0</v>
      </c>
      <c r="ER40" s="97">
        <f t="shared" si="105"/>
        <v>0</v>
      </c>
      <c r="ES40" s="97">
        <f t="shared" si="105"/>
        <v>0</v>
      </c>
      <c r="ET40" s="97">
        <f t="shared" si="105"/>
        <v>0</v>
      </c>
      <c r="EU40" s="97">
        <f t="shared" si="105"/>
        <v>0</v>
      </c>
      <c r="EV40" s="97">
        <f t="shared" si="105"/>
        <v>0</v>
      </c>
      <c r="EW40" s="97">
        <f t="shared" ref="EW40:OV40" si="106">+EW41</f>
        <v>0</v>
      </c>
      <c r="EX40" s="97">
        <f t="shared" si="106"/>
        <v>0</v>
      </c>
      <c r="EY40" s="97">
        <f t="shared" si="106"/>
        <v>0</v>
      </c>
      <c r="EZ40" s="97">
        <f>+EZ41</f>
        <v>0</v>
      </c>
      <c r="FA40" s="97">
        <f>+FA41</f>
        <v>0</v>
      </c>
      <c r="FB40" s="97">
        <f>+FB41</f>
        <v>0</v>
      </c>
      <c r="FC40" s="97">
        <f>+FC41</f>
        <v>0</v>
      </c>
      <c r="FD40" s="97">
        <f t="shared" si="106"/>
        <v>0</v>
      </c>
      <c r="FE40" s="97">
        <f t="shared" si="106"/>
        <v>0</v>
      </c>
      <c r="FF40" s="97">
        <f t="shared" ref="FF40:GE40" si="107">+FF41</f>
        <v>0</v>
      </c>
      <c r="FG40" s="97">
        <f t="shared" si="107"/>
        <v>0</v>
      </c>
      <c r="FH40" s="97">
        <f t="shared" si="107"/>
        <v>0</v>
      </c>
      <c r="FI40" s="97">
        <f t="shared" si="107"/>
        <v>0</v>
      </c>
      <c r="FJ40" s="97">
        <f t="shared" si="107"/>
        <v>0</v>
      </c>
      <c r="FK40" s="97">
        <f t="shared" si="107"/>
        <v>0</v>
      </c>
      <c r="FL40" s="97">
        <f t="shared" si="107"/>
        <v>0</v>
      </c>
      <c r="FM40" s="97">
        <f t="shared" si="107"/>
        <v>0</v>
      </c>
      <c r="FN40" s="97">
        <f t="shared" si="107"/>
        <v>0</v>
      </c>
      <c r="FO40" s="97">
        <f t="shared" si="107"/>
        <v>0</v>
      </c>
      <c r="FP40" s="97">
        <f t="shared" si="107"/>
        <v>0</v>
      </c>
      <c r="FQ40" s="97">
        <f t="shared" si="107"/>
        <v>0</v>
      </c>
      <c r="FR40" s="97">
        <f t="shared" si="107"/>
        <v>0</v>
      </c>
      <c r="FS40" s="97">
        <f t="shared" si="107"/>
        <v>0</v>
      </c>
      <c r="FT40" s="97">
        <f t="shared" si="107"/>
        <v>0</v>
      </c>
      <c r="FU40" s="97">
        <f t="shared" si="107"/>
        <v>0</v>
      </c>
      <c r="FV40" s="97">
        <f t="shared" si="107"/>
        <v>0</v>
      </c>
      <c r="FW40" s="97">
        <f t="shared" si="107"/>
        <v>0</v>
      </c>
      <c r="FX40" s="97">
        <f t="shared" si="107"/>
        <v>0</v>
      </c>
      <c r="FY40" s="97">
        <f t="shared" si="107"/>
        <v>0</v>
      </c>
      <c r="FZ40" s="97">
        <f t="shared" si="107"/>
        <v>0</v>
      </c>
      <c r="GA40" s="97">
        <f t="shared" si="107"/>
        <v>0</v>
      </c>
      <c r="GB40" s="97">
        <f t="shared" si="107"/>
        <v>0</v>
      </c>
      <c r="GC40" s="97">
        <f t="shared" si="107"/>
        <v>0</v>
      </c>
      <c r="GD40" s="97">
        <f t="shared" si="107"/>
        <v>0</v>
      </c>
      <c r="GE40" s="97">
        <f t="shared" si="107"/>
        <v>0</v>
      </c>
      <c r="GF40" s="99"/>
      <c r="GG40" s="99"/>
      <c r="GH40" s="97">
        <f t="shared" ref="GH40:GR40" si="108">+GH41</f>
        <v>0</v>
      </c>
      <c r="GI40" s="97">
        <f t="shared" si="108"/>
        <v>0</v>
      </c>
      <c r="GJ40" s="97">
        <f t="shared" si="108"/>
        <v>0</v>
      </c>
      <c r="GK40" s="97">
        <f t="shared" si="108"/>
        <v>0</v>
      </c>
      <c r="GL40" s="97">
        <f t="shared" si="108"/>
        <v>0</v>
      </c>
      <c r="GM40" s="97">
        <f t="shared" si="108"/>
        <v>0</v>
      </c>
      <c r="GN40" s="97">
        <f t="shared" si="108"/>
        <v>0</v>
      </c>
      <c r="GO40" s="97">
        <f t="shared" si="108"/>
        <v>0</v>
      </c>
      <c r="GP40" s="97">
        <f t="shared" si="108"/>
        <v>0</v>
      </c>
      <c r="GQ40" s="97">
        <f t="shared" si="108"/>
        <v>0</v>
      </c>
      <c r="GR40" s="97">
        <f t="shared" si="108"/>
        <v>0</v>
      </c>
      <c r="GS40" s="97">
        <f t="shared" si="106"/>
        <v>0</v>
      </c>
      <c r="GT40" s="97">
        <f t="shared" ref="GT40:HB40" si="109">+GT41</f>
        <v>0</v>
      </c>
      <c r="GU40" s="97">
        <f t="shared" si="109"/>
        <v>0</v>
      </c>
      <c r="GV40" s="97">
        <f t="shared" si="109"/>
        <v>0</v>
      </c>
      <c r="GW40" s="97">
        <f t="shared" si="109"/>
        <v>0</v>
      </c>
      <c r="GX40" s="97">
        <f t="shared" si="109"/>
        <v>0</v>
      </c>
      <c r="GY40" s="97">
        <f t="shared" si="109"/>
        <v>0</v>
      </c>
      <c r="GZ40" s="97">
        <f t="shared" si="109"/>
        <v>0</v>
      </c>
      <c r="HA40" s="97">
        <f t="shared" si="109"/>
        <v>0</v>
      </c>
      <c r="HB40" s="97">
        <f t="shared" si="109"/>
        <v>0</v>
      </c>
      <c r="HC40" s="99"/>
      <c r="HD40" s="97">
        <f>+HD41</f>
        <v>0</v>
      </c>
      <c r="HE40" s="97">
        <f>+HE41</f>
        <v>0</v>
      </c>
      <c r="HF40" s="97">
        <f>+HF41</f>
        <v>0</v>
      </c>
      <c r="HG40" s="97">
        <f>+HG41</f>
        <v>0</v>
      </c>
      <c r="HH40" s="97">
        <f t="shared" si="106"/>
        <v>0</v>
      </c>
      <c r="HI40" s="97">
        <f t="shared" ref="HI40:HN40" si="110">+HI41</f>
        <v>0</v>
      </c>
      <c r="HJ40" s="97">
        <f t="shared" si="110"/>
        <v>0</v>
      </c>
      <c r="HK40" s="97">
        <f t="shared" si="110"/>
        <v>0</v>
      </c>
      <c r="HL40" s="97">
        <f t="shared" si="110"/>
        <v>0</v>
      </c>
      <c r="HM40" s="97">
        <f t="shared" si="110"/>
        <v>0</v>
      </c>
      <c r="HN40" s="97">
        <f t="shared" si="110"/>
        <v>0</v>
      </c>
      <c r="HO40" s="99"/>
      <c r="HP40" s="97">
        <f t="shared" ref="HP40:IU40" si="111">+HP41</f>
        <v>0</v>
      </c>
      <c r="HQ40" s="97">
        <f t="shared" si="111"/>
        <v>0</v>
      </c>
      <c r="HR40" s="97">
        <f t="shared" si="111"/>
        <v>0</v>
      </c>
      <c r="HS40" s="97">
        <f t="shared" si="111"/>
        <v>0</v>
      </c>
      <c r="HT40" s="97">
        <f t="shared" si="111"/>
        <v>0</v>
      </c>
      <c r="HU40" s="97">
        <f t="shared" si="111"/>
        <v>0</v>
      </c>
      <c r="HV40" s="97">
        <f t="shared" si="111"/>
        <v>0</v>
      </c>
      <c r="HW40" s="97">
        <f t="shared" si="111"/>
        <v>0</v>
      </c>
      <c r="HX40" s="97">
        <f t="shared" si="111"/>
        <v>0</v>
      </c>
      <c r="HY40" s="97">
        <f t="shared" si="111"/>
        <v>0</v>
      </c>
      <c r="HZ40" s="97">
        <f t="shared" si="111"/>
        <v>0</v>
      </c>
      <c r="IA40" s="97">
        <f t="shared" si="111"/>
        <v>0</v>
      </c>
      <c r="IB40" s="97">
        <f t="shared" si="111"/>
        <v>0</v>
      </c>
      <c r="IC40" s="97">
        <f t="shared" si="111"/>
        <v>0</v>
      </c>
      <c r="ID40" s="97">
        <f t="shared" si="111"/>
        <v>0</v>
      </c>
      <c r="IE40" s="97">
        <f t="shared" si="111"/>
        <v>0</v>
      </c>
      <c r="IF40" s="97">
        <f t="shared" si="111"/>
        <v>0</v>
      </c>
      <c r="IG40" s="97">
        <f t="shared" si="111"/>
        <v>0</v>
      </c>
      <c r="IH40" s="97">
        <f t="shared" si="111"/>
        <v>0</v>
      </c>
      <c r="II40" s="97">
        <f t="shared" si="111"/>
        <v>0</v>
      </c>
      <c r="IJ40" s="97">
        <f t="shared" si="111"/>
        <v>0</v>
      </c>
      <c r="IK40" s="97">
        <f t="shared" si="111"/>
        <v>0</v>
      </c>
      <c r="IL40" s="97">
        <f t="shared" si="111"/>
        <v>0</v>
      </c>
      <c r="IM40" s="97">
        <f t="shared" si="111"/>
        <v>0</v>
      </c>
      <c r="IN40" s="97">
        <f t="shared" si="111"/>
        <v>0</v>
      </c>
      <c r="IO40" s="97">
        <f t="shared" si="111"/>
        <v>0</v>
      </c>
      <c r="IP40" s="97">
        <f t="shared" si="111"/>
        <v>0</v>
      </c>
      <c r="IQ40" s="97">
        <f t="shared" si="111"/>
        <v>0</v>
      </c>
      <c r="IR40" s="97">
        <f t="shared" si="111"/>
        <v>0</v>
      </c>
      <c r="IS40" s="97">
        <f t="shared" si="111"/>
        <v>0</v>
      </c>
      <c r="IT40" s="97">
        <f t="shared" si="111"/>
        <v>0</v>
      </c>
      <c r="IU40" s="97">
        <f t="shared" si="111"/>
        <v>0</v>
      </c>
      <c r="IV40" s="97">
        <f t="shared" ref="IV40:KA40" si="112">+IV41</f>
        <v>0</v>
      </c>
      <c r="IW40" s="97">
        <f t="shared" si="112"/>
        <v>0</v>
      </c>
      <c r="IX40" s="97">
        <f t="shared" si="112"/>
        <v>0</v>
      </c>
      <c r="IY40" s="97">
        <f t="shared" si="112"/>
        <v>0</v>
      </c>
      <c r="IZ40" s="97">
        <f t="shared" si="112"/>
        <v>0</v>
      </c>
      <c r="JA40" s="97">
        <f t="shared" si="112"/>
        <v>0</v>
      </c>
      <c r="JB40" s="97">
        <f t="shared" si="112"/>
        <v>0</v>
      </c>
      <c r="JC40" s="97">
        <f t="shared" si="112"/>
        <v>0</v>
      </c>
      <c r="JD40" s="97">
        <f t="shared" si="112"/>
        <v>0</v>
      </c>
      <c r="JE40" s="97">
        <f t="shared" si="112"/>
        <v>0</v>
      </c>
      <c r="JF40" s="97">
        <f t="shared" si="112"/>
        <v>0</v>
      </c>
      <c r="JG40" s="97">
        <f t="shared" si="112"/>
        <v>0</v>
      </c>
      <c r="JH40" s="97">
        <f t="shared" si="112"/>
        <v>0</v>
      </c>
      <c r="JI40" s="97">
        <f t="shared" si="112"/>
        <v>0</v>
      </c>
      <c r="JJ40" s="97">
        <f t="shared" si="112"/>
        <v>0</v>
      </c>
      <c r="JK40" s="97">
        <f t="shared" si="112"/>
        <v>0</v>
      </c>
      <c r="JL40" s="97">
        <f t="shared" si="112"/>
        <v>0</v>
      </c>
      <c r="JM40" s="97">
        <f t="shared" si="112"/>
        <v>0</v>
      </c>
      <c r="JN40" s="97">
        <f t="shared" si="112"/>
        <v>0</v>
      </c>
      <c r="JO40" s="97">
        <f t="shared" si="112"/>
        <v>0</v>
      </c>
      <c r="JP40" s="97">
        <f t="shared" si="112"/>
        <v>0</v>
      </c>
      <c r="JQ40" s="97">
        <f t="shared" si="112"/>
        <v>0</v>
      </c>
      <c r="JR40" s="97">
        <f t="shared" si="112"/>
        <v>0</v>
      </c>
      <c r="JS40" s="97">
        <f t="shared" si="112"/>
        <v>0</v>
      </c>
      <c r="JT40" s="97">
        <f t="shared" si="112"/>
        <v>0</v>
      </c>
      <c r="JU40" s="97">
        <f t="shared" si="112"/>
        <v>0</v>
      </c>
      <c r="JV40" s="97">
        <f t="shared" si="112"/>
        <v>0</v>
      </c>
      <c r="JW40" s="97">
        <f t="shared" si="112"/>
        <v>0</v>
      </c>
      <c r="JX40" s="97">
        <f t="shared" si="112"/>
        <v>0</v>
      </c>
      <c r="JY40" s="97">
        <f t="shared" si="112"/>
        <v>0</v>
      </c>
      <c r="JZ40" s="97">
        <f t="shared" si="112"/>
        <v>0</v>
      </c>
      <c r="KA40" s="97">
        <f t="shared" si="112"/>
        <v>0</v>
      </c>
      <c r="KB40" s="97">
        <f t="shared" ref="KB40:KE40" si="113">+KB41</f>
        <v>0</v>
      </c>
      <c r="KC40" s="97">
        <f t="shared" si="113"/>
        <v>0</v>
      </c>
      <c r="KD40" s="97">
        <f t="shared" si="113"/>
        <v>0</v>
      </c>
      <c r="KE40" s="97">
        <f t="shared" si="113"/>
        <v>0</v>
      </c>
      <c r="KF40" s="99"/>
      <c r="KG40" s="97">
        <f t="shared" ref="KG40:OT40" si="114">+KG41</f>
        <v>0</v>
      </c>
      <c r="KH40" s="97">
        <f t="shared" si="114"/>
        <v>0</v>
      </c>
      <c r="KI40" s="97">
        <f t="shared" si="114"/>
        <v>0</v>
      </c>
      <c r="KJ40" s="97">
        <f t="shared" si="114"/>
        <v>0</v>
      </c>
      <c r="KK40" s="97">
        <f t="shared" si="114"/>
        <v>0</v>
      </c>
      <c r="KL40" s="97">
        <f t="shared" si="114"/>
        <v>0</v>
      </c>
      <c r="KM40" s="97">
        <f t="shared" si="114"/>
        <v>0</v>
      </c>
      <c r="KN40" s="97">
        <f t="shared" si="114"/>
        <v>0</v>
      </c>
      <c r="KO40" s="97">
        <f t="shared" si="114"/>
        <v>0</v>
      </c>
      <c r="KP40" s="97">
        <f t="shared" si="114"/>
        <v>0</v>
      </c>
      <c r="KQ40" s="97">
        <f t="shared" si="114"/>
        <v>0</v>
      </c>
      <c r="KR40" s="97">
        <f t="shared" si="114"/>
        <v>0</v>
      </c>
      <c r="KS40" s="97">
        <f t="shared" si="114"/>
        <v>0</v>
      </c>
      <c r="KT40" s="97">
        <f t="shared" si="114"/>
        <v>0</v>
      </c>
      <c r="KU40" s="97">
        <f t="shared" si="114"/>
        <v>0</v>
      </c>
      <c r="KV40" s="97">
        <f t="shared" si="114"/>
        <v>0</v>
      </c>
      <c r="KW40" s="97">
        <f t="shared" si="114"/>
        <v>0</v>
      </c>
      <c r="KX40" s="97">
        <f t="shared" si="114"/>
        <v>0</v>
      </c>
      <c r="KY40" s="97">
        <f t="shared" si="114"/>
        <v>0</v>
      </c>
      <c r="KZ40" s="97">
        <f t="shared" si="114"/>
        <v>0</v>
      </c>
      <c r="LA40" s="97">
        <f t="shared" si="114"/>
        <v>0</v>
      </c>
      <c r="LB40" s="97">
        <f t="shared" si="114"/>
        <v>0</v>
      </c>
      <c r="LC40" s="97">
        <f>+LC41</f>
        <v>0</v>
      </c>
      <c r="LD40" s="97">
        <f>+LD41</f>
        <v>0</v>
      </c>
      <c r="LE40" s="97">
        <f>+LE41</f>
        <v>0</v>
      </c>
      <c r="LF40" s="99"/>
      <c r="LG40" s="97">
        <f>+LG41</f>
        <v>0</v>
      </c>
      <c r="LH40" s="97">
        <f>+LH41</f>
        <v>0</v>
      </c>
      <c r="LI40" s="97">
        <f>+LI41</f>
        <v>0</v>
      </c>
      <c r="LJ40" s="97">
        <f>+LJ41</f>
        <v>0</v>
      </c>
      <c r="LK40" s="97">
        <f t="shared" ref="LK40:LQ40" si="115">+LK41</f>
        <v>0</v>
      </c>
      <c r="LL40" s="97">
        <f t="shared" si="115"/>
        <v>0</v>
      </c>
      <c r="LM40" s="97">
        <f>+LM41</f>
        <v>0</v>
      </c>
      <c r="LN40" s="97">
        <f>+LN41</f>
        <v>0</v>
      </c>
      <c r="LO40" s="97">
        <f t="shared" si="115"/>
        <v>0</v>
      </c>
      <c r="LP40" s="97">
        <f t="shared" si="115"/>
        <v>0</v>
      </c>
      <c r="LQ40" s="97">
        <f t="shared" si="115"/>
        <v>0</v>
      </c>
      <c r="LR40" s="99"/>
      <c r="LS40" s="99"/>
      <c r="LT40" s="97">
        <f t="shared" ref="LT40:MY40" si="116">+LT41</f>
        <v>0</v>
      </c>
      <c r="LU40" s="97">
        <f t="shared" si="116"/>
        <v>0</v>
      </c>
      <c r="LV40" s="97">
        <f t="shared" si="116"/>
        <v>0</v>
      </c>
      <c r="LW40" s="97">
        <f t="shared" si="116"/>
        <v>0</v>
      </c>
      <c r="LX40" s="97">
        <f t="shared" si="116"/>
        <v>0</v>
      </c>
      <c r="LY40" s="97">
        <f t="shared" si="116"/>
        <v>0</v>
      </c>
      <c r="LZ40" s="97">
        <f t="shared" si="116"/>
        <v>0</v>
      </c>
      <c r="MA40" s="97">
        <f t="shared" si="116"/>
        <v>0</v>
      </c>
      <c r="MB40" s="97">
        <f t="shared" si="116"/>
        <v>0</v>
      </c>
      <c r="MC40" s="97">
        <f t="shared" si="116"/>
        <v>0</v>
      </c>
      <c r="MD40" s="97">
        <f t="shared" si="116"/>
        <v>0</v>
      </c>
      <c r="ME40" s="97">
        <f t="shared" si="116"/>
        <v>0</v>
      </c>
      <c r="MF40" s="97">
        <f t="shared" si="116"/>
        <v>0</v>
      </c>
      <c r="MG40" s="97">
        <f t="shared" si="116"/>
        <v>0</v>
      </c>
      <c r="MH40" s="97">
        <f t="shared" si="116"/>
        <v>0</v>
      </c>
      <c r="MI40" s="97">
        <f t="shared" si="116"/>
        <v>0</v>
      </c>
      <c r="MJ40" s="97">
        <f t="shared" si="116"/>
        <v>0</v>
      </c>
      <c r="MK40" s="97">
        <f t="shared" si="116"/>
        <v>0</v>
      </c>
      <c r="ML40" s="97">
        <f t="shared" si="116"/>
        <v>0</v>
      </c>
      <c r="MM40" s="97">
        <f t="shared" si="116"/>
        <v>0</v>
      </c>
      <c r="MN40" s="97">
        <f t="shared" si="116"/>
        <v>0</v>
      </c>
      <c r="MO40" s="97">
        <f t="shared" si="116"/>
        <v>0</v>
      </c>
      <c r="MP40" s="97">
        <f t="shared" si="116"/>
        <v>0</v>
      </c>
      <c r="MQ40" s="97">
        <f t="shared" si="116"/>
        <v>0</v>
      </c>
      <c r="MR40" s="97">
        <f t="shared" si="116"/>
        <v>0</v>
      </c>
      <c r="MS40" s="97">
        <f t="shared" si="116"/>
        <v>0</v>
      </c>
      <c r="MT40" s="97">
        <f t="shared" si="116"/>
        <v>0</v>
      </c>
      <c r="MU40" s="97">
        <f t="shared" si="116"/>
        <v>0</v>
      </c>
      <c r="MV40" s="97">
        <f t="shared" si="116"/>
        <v>0</v>
      </c>
      <c r="MW40" s="97">
        <f t="shared" si="116"/>
        <v>0</v>
      </c>
      <c r="MX40" s="97">
        <f t="shared" si="116"/>
        <v>0</v>
      </c>
      <c r="MY40" s="97">
        <f t="shared" si="116"/>
        <v>0</v>
      </c>
      <c r="MZ40" s="97">
        <f t="shared" ref="MZ40:OA40" si="117">+MZ41</f>
        <v>0</v>
      </c>
      <c r="NA40" s="97">
        <f t="shared" si="117"/>
        <v>0</v>
      </c>
      <c r="NB40" s="97">
        <f t="shared" si="117"/>
        <v>0</v>
      </c>
      <c r="NC40" s="97">
        <f t="shared" si="117"/>
        <v>0</v>
      </c>
      <c r="ND40" s="97">
        <f t="shared" si="117"/>
        <v>0</v>
      </c>
      <c r="NE40" s="97">
        <f t="shared" si="117"/>
        <v>0</v>
      </c>
      <c r="NF40" s="97">
        <f t="shared" si="117"/>
        <v>0</v>
      </c>
      <c r="NG40" s="97">
        <f t="shared" si="117"/>
        <v>0</v>
      </c>
      <c r="NH40" s="97">
        <f t="shared" si="117"/>
        <v>0</v>
      </c>
      <c r="NI40" s="97">
        <f t="shared" si="117"/>
        <v>0</v>
      </c>
      <c r="NJ40" s="97">
        <f t="shared" si="117"/>
        <v>0</v>
      </c>
      <c r="NK40" s="97">
        <f t="shared" si="117"/>
        <v>0</v>
      </c>
      <c r="NL40" s="97">
        <f t="shared" si="117"/>
        <v>0</v>
      </c>
      <c r="NM40" s="97">
        <f t="shared" si="117"/>
        <v>0</v>
      </c>
      <c r="NN40" s="97">
        <f t="shared" si="117"/>
        <v>0</v>
      </c>
      <c r="NO40" s="97">
        <f t="shared" si="117"/>
        <v>0</v>
      </c>
      <c r="NP40" s="97">
        <f t="shared" si="117"/>
        <v>0</v>
      </c>
      <c r="NQ40" s="97">
        <f t="shared" si="117"/>
        <v>0</v>
      </c>
      <c r="NR40" s="97">
        <f t="shared" si="117"/>
        <v>0</v>
      </c>
      <c r="NS40" s="97">
        <f t="shared" si="117"/>
        <v>0</v>
      </c>
      <c r="NT40" s="97">
        <f t="shared" si="117"/>
        <v>0</v>
      </c>
      <c r="NU40" s="97">
        <f t="shared" si="117"/>
        <v>0</v>
      </c>
      <c r="NV40" s="97">
        <f t="shared" si="117"/>
        <v>0</v>
      </c>
      <c r="NW40" s="97">
        <f t="shared" si="117"/>
        <v>0</v>
      </c>
      <c r="NX40" s="97">
        <f t="shared" si="117"/>
        <v>0</v>
      </c>
      <c r="NY40" s="97">
        <f t="shared" si="117"/>
        <v>0</v>
      </c>
      <c r="NZ40" s="97">
        <f t="shared" si="117"/>
        <v>0</v>
      </c>
      <c r="OA40" s="97">
        <f t="shared" si="117"/>
        <v>0</v>
      </c>
      <c r="OB40" s="97">
        <f t="shared" ref="OB40" si="118">+OB41</f>
        <v>0</v>
      </c>
      <c r="OC40" s="97">
        <f>+OC41</f>
        <v>0</v>
      </c>
      <c r="OD40" s="97">
        <f>+OD41</f>
        <v>0</v>
      </c>
      <c r="OE40" s="97">
        <f>+OE41</f>
        <v>0</v>
      </c>
      <c r="OF40" s="97">
        <f>+OF41</f>
        <v>0</v>
      </c>
      <c r="OG40" s="97">
        <f>+OG41</f>
        <v>0</v>
      </c>
      <c r="OH40" s="97">
        <f t="shared" si="114"/>
        <v>0</v>
      </c>
      <c r="OI40" s="97">
        <f t="shared" si="114"/>
        <v>0</v>
      </c>
      <c r="OJ40" s="97">
        <f>+OJ41</f>
        <v>0</v>
      </c>
      <c r="OK40" s="97">
        <f>+OK41</f>
        <v>0</v>
      </c>
      <c r="OL40" s="97">
        <f t="shared" si="114"/>
        <v>0</v>
      </c>
      <c r="OM40" s="97">
        <f t="shared" si="114"/>
        <v>0</v>
      </c>
      <c r="ON40" s="97">
        <f>+ON41</f>
        <v>0</v>
      </c>
      <c r="OO40" s="97">
        <f t="shared" si="114"/>
        <v>0</v>
      </c>
      <c r="OP40" s="97">
        <f t="shared" si="114"/>
        <v>0</v>
      </c>
      <c r="OQ40" s="97">
        <f t="shared" si="114"/>
        <v>0</v>
      </c>
      <c r="OR40" s="97">
        <f t="shared" si="114"/>
        <v>0</v>
      </c>
      <c r="OS40" s="97">
        <f t="shared" si="114"/>
        <v>0</v>
      </c>
      <c r="OT40" s="97">
        <f t="shared" si="114"/>
        <v>0</v>
      </c>
      <c r="OU40" s="97">
        <f t="shared" si="106"/>
        <v>0</v>
      </c>
      <c r="OV40" s="97">
        <f t="shared" si="106"/>
        <v>0</v>
      </c>
      <c r="OW40" s="97">
        <f t="shared" ref="OW40:PH40" si="119">+OW41</f>
        <v>0</v>
      </c>
      <c r="OX40" s="97">
        <f t="shared" si="119"/>
        <v>0</v>
      </c>
      <c r="OY40" s="97">
        <f t="shared" si="119"/>
        <v>0</v>
      </c>
      <c r="OZ40" s="97">
        <f t="shared" si="119"/>
        <v>0</v>
      </c>
      <c r="PA40" s="97">
        <f t="shared" si="119"/>
        <v>0</v>
      </c>
      <c r="PB40" s="97">
        <f>+PB41</f>
        <v>0</v>
      </c>
      <c r="PC40" s="97">
        <f t="shared" si="119"/>
        <v>0</v>
      </c>
      <c r="PD40" s="97">
        <f>+PD41</f>
        <v>0</v>
      </c>
      <c r="PE40" s="97">
        <f t="shared" si="119"/>
        <v>0</v>
      </c>
      <c r="PF40" s="97">
        <f t="shared" si="119"/>
        <v>0</v>
      </c>
      <c r="PG40" s="97">
        <f t="shared" si="119"/>
        <v>0</v>
      </c>
      <c r="PH40" s="97">
        <f t="shared" si="119"/>
        <v>0</v>
      </c>
      <c r="PI40" s="97">
        <f>+PI41</f>
        <v>0</v>
      </c>
      <c r="PJ40" s="97">
        <f t="shared" ref="PJ40:QC40" si="120">+PJ41</f>
        <v>0</v>
      </c>
      <c r="PK40" s="97">
        <f t="shared" si="120"/>
        <v>0</v>
      </c>
      <c r="PL40" s="97">
        <f t="shared" si="120"/>
        <v>0</v>
      </c>
      <c r="PM40" s="97">
        <f t="shared" si="120"/>
        <v>0</v>
      </c>
      <c r="PN40" s="97">
        <f t="shared" ref="PN40:PS40" si="121">+PN41</f>
        <v>0</v>
      </c>
      <c r="PO40" s="97">
        <f t="shared" si="121"/>
        <v>0</v>
      </c>
      <c r="PP40" s="97">
        <f t="shared" si="121"/>
        <v>0</v>
      </c>
      <c r="PQ40" s="97">
        <f t="shared" si="121"/>
        <v>0</v>
      </c>
      <c r="PR40" s="97">
        <f t="shared" si="121"/>
        <v>0</v>
      </c>
      <c r="PS40" s="97">
        <f t="shared" si="121"/>
        <v>0</v>
      </c>
      <c r="PT40" s="97">
        <f t="shared" si="120"/>
        <v>0</v>
      </c>
      <c r="PU40" s="97">
        <f>+PU41</f>
        <v>0</v>
      </c>
      <c r="PV40" s="97">
        <f t="shared" si="120"/>
        <v>0</v>
      </c>
      <c r="PW40" s="97">
        <f>+PW41</f>
        <v>0</v>
      </c>
      <c r="PX40" s="97">
        <f>+PX41</f>
        <v>0</v>
      </c>
      <c r="PY40" s="97">
        <f>+PY41</f>
        <v>0</v>
      </c>
      <c r="PZ40" s="97">
        <f>+PZ41</f>
        <v>0</v>
      </c>
      <c r="QA40" s="97">
        <f>+QA41</f>
        <v>0</v>
      </c>
      <c r="QB40" s="97">
        <f t="shared" si="120"/>
        <v>0</v>
      </c>
      <c r="QC40" s="97">
        <f t="shared" si="120"/>
        <v>0</v>
      </c>
      <c r="QD40" s="97">
        <f>+QD41</f>
        <v>0</v>
      </c>
      <c r="QE40" s="97">
        <f t="shared" ref="QE40:QJ40" si="122">+QE41</f>
        <v>0</v>
      </c>
      <c r="QF40" s="97">
        <f t="shared" si="122"/>
        <v>0</v>
      </c>
      <c r="QG40" s="97">
        <f t="shared" si="122"/>
        <v>0</v>
      </c>
      <c r="QH40" s="97">
        <f t="shared" si="122"/>
        <v>0</v>
      </c>
      <c r="QI40" s="97">
        <f t="shared" si="122"/>
        <v>0</v>
      </c>
      <c r="QJ40" s="97">
        <f t="shared" si="122"/>
        <v>0</v>
      </c>
      <c r="QK40" s="97">
        <f>+QK41</f>
        <v>0</v>
      </c>
      <c r="QL40" s="97">
        <f t="shared" ref="QL40:QM40" si="123">+QL41</f>
        <v>0</v>
      </c>
      <c r="QM40" s="97">
        <f t="shared" si="123"/>
        <v>0</v>
      </c>
      <c r="QN40" s="97">
        <f>+QN41</f>
        <v>0</v>
      </c>
      <c r="QO40" s="97">
        <f>+QO41</f>
        <v>0</v>
      </c>
      <c r="QP40" s="97">
        <f t="shared" ref="QP40" si="124">+QP41</f>
        <v>0</v>
      </c>
      <c r="QQ40" s="97">
        <f>+QQ41</f>
        <v>0</v>
      </c>
      <c r="QR40" s="97">
        <f>+QR41</f>
        <v>0</v>
      </c>
      <c r="QS40" s="97">
        <f t="shared" ref="QS40:RM40" si="125">+QS41</f>
        <v>0</v>
      </c>
      <c r="QT40" s="97">
        <f>+QT41</f>
        <v>0</v>
      </c>
      <c r="QU40" s="97">
        <f>+QU41</f>
        <v>0</v>
      </c>
      <c r="QV40" s="97">
        <f t="shared" si="125"/>
        <v>0</v>
      </c>
      <c r="QW40" s="97">
        <f t="shared" si="125"/>
        <v>0</v>
      </c>
      <c r="QX40" s="97">
        <f t="shared" si="125"/>
        <v>0</v>
      </c>
      <c r="QY40" s="97">
        <f t="shared" si="125"/>
        <v>0</v>
      </c>
      <c r="QZ40" s="97">
        <f t="shared" si="125"/>
        <v>0</v>
      </c>
      <c r="RA40" s="97">
        <f t="shared" si="125"/>
        <v>0</v>
      </c>
      <c r="RB40" s="97">
        <f t="shared" si="125"/>
        <v>0</v>
      </c>
      <c r="RC40" s="97">
        <f t="shared" si="125"/>
        <v>0</v>
      </c>
      <c r="RD40" s="97">
        <f t="shared" si="125"/>
        <v>0</v>
      </c>
      <c r="RE40" s="97">
        <f>+RE41</f>
        <v>0</v>
      </c>
      <c r="RF40" s="97">
        <f t="shared" si="125"/>
        <v>0</v>
      </c>
      <c r="RG40" s="97">
        <f t="shared" si="125"/>
        <v>0</v>
      </c>
      <c r="RH40" s="97">
        <f t="shared" si="125"/>
        <v>0</v>
      </c>
      <c r="RI40" s="97">
        <f t="shared" si="125"/>
        <v>0</v>
      </c>
      <c r="RJ40" s="97">
        <f>+RJ41</f>
        <v>0</v>
      </c>
      <c r="RK40" s="97">
        <f t="shared" si="125"/>
        <v>0</v>
      </c>
      <c r="RL40" s="97">
        <f t="shared" si="125"/>
        <v>0</v>
      </c>
      <c r="RM40" s="97">
        <f t="shared" si="125"/>
        <v>0</v>
      </c>
      <c r="RN40" s="97">
        <f>+RN41</f>
        <v>0</v>
      </c>
    </row>
    <row r="41" spans="1:482" s="60" customFormat="1" ht="11.25" customHeight="1" x14ac:dyDescent="0.2">
      <c r="A41" s="125" t="s">
        <v>781</v>
      </c>
      <c r="B41" s="176" t="s">
        <v>867</v>
      </c>
      <c r="C41" s="176"/>
      <c r="D41" s="116">
        <f>SUM(E41:RN41)</f>
        <v>40988859.900000006</v>
      </c>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v>40954187.700000003</v>
      </c>
      <c r="AF41" s="114"/>
      <c r="AG41" s="114"/>
      <c r="AH41" s="114"/>
      <c r="AI41" s="114"/>
      <c r="AJ41" s="114"/>
      <c r="AK41" s="114"/>
      <c r="AL41" s="114"/>
      <c r="AM41" s="114"/>
      <c r="AN41" s="114"/>
      <c r="AO41" s="114">
        <v>34672.199999999997</v>
      </c>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t="s">
        <v>912</v>
      </c>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c r="IW41" s="99"/>
      <c r="IX41" s="99"/>
      <c r="IY41" s="99"/>
      <c r="IZ41" s="99"/>
      <c r="JA41" s="99"/>
      <c r="JB41" s="99"/>
      <c r="JC41" s="99"/>
      <c r="JD41" s="99"/>
      <c r="JE41" s="99"/>
      <c r="JF41" s="99"/>
      <c r="JG41" s="99"/>
      <c r="JH41" s="99"/>
      <c r="JI41" s="99"/>
      <c r="JJ41" s="99"/>
      <c r="JK41" s="99"/>
      <c r="JL41" s="99"/>
      <c r="JM41" s="99"/>
      <c r="JN41" s="99"/>
      <c r="JO41" s="99"/>
      <c r="JP41" s="99"/>
      <c r="JQ41" s="99"/>
      <c r="JR41" s="99"/>
      <c r="JS41" s="99"/>
      <c r="JT41" s="99"/>
      <c r="JU41" s="99"/>
      <c r="JV41" s="99"/>
      <c r="JW41" s="99"/>
      <c r="JX41" s="99"/>
      <c r="JY41" s="99"/>
      <c r="JZ41" s="99"/>
      <c r="KA41" s="99"/>
      <c r="KB41" s="99"/>
      <c r="KC41" s="99"/>
      <c r="KD41" s="99"/>
      <c r="KE41" s="97"/>
      <c r="KF41" s="99"/>
      <c r="KG41" s="99"/>
      <c r="KH41" s="99"/>
      <c r="KI41" s="99"/>
      <c r="KJ41" s="99"/>
      <c r="KK41" s="99"/>
      <c r="KL41" s="99"/>
      <c r="KM41" s="99"/>
      <c r="KN41" s="99"/>
      <c r="KO41" s="99"/>
      <c r="KP41" s="99"/>
      <c r="KQ41" s="99"/>
      <c r="KR41" s="99"/>
      <c r="KS41" s="99"/>
      <c r="KT41" s="99"/>
      <c r="KU41" s="99"/>
      <c r="KV41" s="99"/>
      <c r="KW41" s="99"/>
      <c r="KX41" s="99"/>
      <c r="KY41" s="99"/>
      <c r="KZ41" s="99"/>
      <c r="LA41" s="99"/>
      <c r="LB41" s="99"/>
      <c r="LC41" s="99"/>
      <c r="LD41" s="99"/>
      <c r="LE41" s="99"/>
      <c r="LF41" s="99"/>
      <c r="LG41" s="99"/>
      <c r="LH41" s="99"/>
      <c r="LI41" s="99"/>
      <c r="LJ41" s="99"/>
      <c r="LK41" s="99"/>
      <c r="LL41" s="99"/>
      <c r="LM41" s="99"/>
      <c r="LN41" s="99"/>
      <c r="LO41" s="99"/>
      <c r="LP41" s="99"/>
      <c r="LQ41" s="99"/>
      <c r="LR41" s="99"/>
      <c r="LS41" s="99"/>
      <c r="LT41" s="99"/>
      <c r="LU41" s="99"/>
      <c r="LV41" s="99"/>
      <c r="LW41" s="99"/>
      <c r="LX41" s="99"/>
      <c r="LY41" s="99"/>
      <c r="LZ41" s="99"/>
      <c r="MA41" s="99"/>
      <c r="MB41" s="99"/>
      <c r="MC41" s="99"/>
      <c r="MD41" s="99"/>
      <c r="ME41" s="99"/>
      <c r="MF41" s="99"/>
      <c r="MG41" s="99"/>
      <c r="MH41" s="99"/>
      <c r="MI41" s="99"/>
      <c r="MJ41" s="99"/>
      <c r="MK41" s="99"/>
      <c r="ML41" s="99"/>
      <c r="MM41" s="99"/>
      <c r="MN41" s="99"/>
      <c r="MO41" s="99"/>
      <c r="MP41" s="99"/>
      <c r="MQ41" s="99"/>
      <c r="MR41" s="99"/>
      <c r="MS41" s="99"/>
      <c r="MT41" s="99"/>
      <c r="MU41" s="99"/>
      <c r="MV41" s="99"/>
      <c r="MW41" s="99"/>
      <c r="MX41" s="99"/>
      <c r="MY41" s="99"/>
      <c r="MZ41" s="99"/>
      <c r="NA41" s="99"/>
      <c r="NB41" s="99"/>
      <c r="NC41" s="99"/>
      <c r="ND41" s="99"/>
      <c r="NE41" s="99"/>
      <c r="NF41" s="99"/>
      <c r="NG41" s="99"/>
      <c r="NH41" s="99"/>
      <c r="NI41" s="99"/>
      <c r="NJ41" s="99"/>
      <c r="NK41" s="99"/>
      <c r="NL41" s="99"/>
      <c r="NM41" s="99"/>
      <c r="NN41" s="99"/>
      <c r="NO41" s="99"/>
      <c r="NP41" s="99"/>
      <c r="NQ41" s="99"/>
      <c r="NR41" s="99"/>
      <c r="NS41" s="99"/>
      <c r="NT41" s="99"/>
      <c r="NU41" s="99"/>
      <c r="NV41" s="99"/>
      <c r="NW41" s="99"/>
      <c r="NX41" s="99"/>
      <c r="NY41" s="99"/>
      <c r="NZ41" s="99"/>
      <c r="OA41" s="99"/>
      <c r="OB41" s="99"/>
      <c r="OC41" s="99"/>
      <c r="OD41" s="99"/>
      <c r="OE41" s="99"/>
      <c r="OF41" s="99"/>
      <c r="OG41" s="99"/>
      <c r="OH41" s="99"/>
      <c r="OI41" s="99"/>
      <c r="OJ41" s="99"/>
      <c r="OK41" s="99"/>
      <c r="OL41" s="99"/>
      <c r="OM41" s="99"/>
      <c r="ON41" s="99"/>
      <c r="OO41" s="99"/>
      <c r="OP41" s="99"/>
      <c r="OQ41" s="99"/>
      <c r="OR41" s="99"/>
      <c r="OS41" s="99"/>
      <c r="OT41" s="99"/>
      <c r="OU41" s="99"/>
      <c r="OV41" s="99"/>
      <c r="OW41" s="99"/>
      <c r="OX41" s="99"/>
      <c r="OY41" s="99"/>
      <c r="OZ41" s="99"/>
      <c r="PA41" s="99"/>
      <c r="PB41" s="99"/>
      <c r="PC41" s="99"/>
      <c r="PD41" s="99"/>
      <c r="PE41" s="99"/>
      <c r="PF41" s="99"/>
      <c r="PG41" s="99"/>
      <c r="PH41" s="99"/>
      <c r="PI41" s="99"/>
      <c r="PJ41" s="99"/>
      <c r="PK41" s="99"/>
      <c r="PL41" s="99"/>
      <c r="PM41" s="99"/>
      <c r="PN41" s="99"/>
      <c r="PO41" s="99"/>
      <c r="PP41" s="99"/>
      <c r="PQ41" s="99"/>
      <c r="PR41" s="99"/>
      <c r="PS41" s="99"/>
      <c r="PT41" s="99"/>
      <c r="PU41" s="99"/>
      <c r="PV41" s="99"/>
      <c r="PW41" s="99"/>
      <c r="PX41" s="99"/>
      <c r="PY41" s="99"/>
      <c r="PZ41" s="99"/>
      <c r="QA41" s="99"/>
      <c r="QB41" s="99"/>
      <c r="QC41" s="99"/>
      <c r="QD41" s="99"/>
      <c r="QE41" s="99"/>
      <c r="QF41" s="99"/>
      <c r="QG41" s="99"/>
      <c r="QH41" s="99"/>
      <c r="QI41" s="99"/>
      <c r="QJ41" s="99"/>
      <c r="QK41" s="99"/>
      <c r="QL41" s="99"/>
      <c r="QM41" s="99"/>
      <c r="QN41" s="99"/>
      <c r="QO41" s="99"/>
      <c r="QP41" s="99"/>
      <c r="QQ41" s="99"/>
      <c r="QR41" s="99"/>
      <c r="QS41" s="99"/>
      <c r="QT41" s="99"/>
      <c r="QU41" s="99"/>
      <c r="QV41" s="99"/>
      <c r="QW41" s="99"/>
      <c r="QX41" s="99"/>
      <c r="QY41" s="99"/>
      <c r="QZ41" s="99"/>
      <c r="RA41" s="99"/>
      <c r="RB41" s="99"/>
      <c r="RC41" s="99"/>
      <c r="RD41" s="99"/>
      <c r="RE41" s="99"/>
      <c r="RF41" s="99"/>
      <c r="RG41" s="99"/>
      <c r="RH41" s="99"/>
      <c r="RI41" s="99"/>
      <c r="RJ41" s="99"/>
      <c r="RK41" s="99"/>
      <c r="RL41" s="99"/>
      <c r="RM41" s="99"/>
      <c r="RN41" s="99"/>
    </row>
    <row r="42" spans="1:482" s="60" customFormat="1" ht="11.25" x14ac:dyDescent="0.2">
      <c r="A42" s="126" t="s">
        <v>868</v>
      </c>
      <c r="B42" s="163"/>
      <c r="C42" s="163"/>
      <c r="D42" s="156">
        <f t="shared" ref="D42:AI42" si="126">SUM(D43:D44)</f>
        <v>58330492.700000003</v>
      </c>
      <c r="E42" s="142">
        <f t="shared" si="126"/>
        <v>0</v>
      </c>
      <c r="F42" s="142">
        <f t="shared" si="126"/>
        <v>0</v>
      </c>
      <c r="G42" s="142">
        <f t="shared" si="126"/>
        <v>0</v>
      </c>
      <c r="H42" s="142">
        <f t="shared" si="126"/>
        <v>0</v>
      </c>
      <c r="I42" s="142">
        <f t="shared" si="126"/>
        <v>0</v>
      </c>
      <c r="J42" s="142">
        <f t="shared" si="126"/>
        <v>0</v>
      </c>
      <c r="K42" s="142">
        <f t="shared" si="126"/>
        <v>0</v>
      </c>
      <c r="L42" s="142">
        <f t="shared" si="126"/>
        <v>0</v>
      </c>
      <c r="M42" s="142">
        <f t="shared" si="126"/>
        <v>0</v>
      </c>
      <c r="N42" s="142">
        <f t="shared" si="126"/>
        <v>0</v>
      </c>
      <c r="O42" s="142">
        <f t="shared" si="126"/>
        <v>0</v>
      </c>
      <c r="P42" s="142">
        <f t="shared" si="126"/>
        <v>0</v>
      </c>
      <c r="Q42" s="142">
        <f t="shared" si="126"/>
        <v>0</v>
      </c>
      <c r="R42" s="142">
        <f t="shared" si="126"/>
        <v>0</v>
      </c>
      <c r="S42" s="142">
        <f t="shared" si="126"/>
        <v>0</v>
      </c>
      <c r="T42" s="142">
        <f t="shared" si="126"/>
        <v>0</v>
      </c>
      <c r="U42" s="142">
        <f t="shared" si="126"/>
        <v>0</v>
      </c>
      <c r="V42" s="142">
        <f t="shared" si="126"/>
        <v>0</v>
      </c>
      <c r="W42" s="142">
        <f t="shared" si="126"/>
        <v>0</v>
      </c>
      <c r="X42" s="142">
        <f t="shared" si="126"/>
        <v>0</v>
      </c>
      <c r="Y42" s="142">
        <f t="shared" si="126"/>
        <v>0</v>
      </c>
      <c r="Z42" s="142">
        <f t="shared" si="126"/>
        <v>0</v>
      </c>
      <c r="AA42" s="142">
        <f t="shared" si="126"/>
        <v>0</v>
      </c>
      <c r="AB42" s="142">
        <f t="shared" si="126"/>
        <v>0</v>
      </c>
      <c r="AC42" s="142">
        <f t="shared" si="126"/>
        <v>0</v>
      </c>
      <c r="AD42" s="142">
        <f t="shared" si="126"/>
        <v>0</v>
      </c>
      <c r="AE42" s="142">
        <f t="shared" si="126"/>
        <v>0</v>
      </c>
      <c r="AF42" s="142">
        <f t="shared" si="126"/>
        <v>38220021.700000003</v>
      </c>
      <c r="AG42" s="142">
        <f t="shared" si="126"/>
        <v>0</v>
      </c>
      <c r="AH42" s="142">
        <f t="shared" si="126"/>
        <v>0</v>
      </c>
      <c r="AI42" s="142">
        <f t="shared" si="126"/>
        <v>0</v>
      </c>
      <c r="AJ42" s="142">
        <f t="shared" ref="AJ42:BJ42" si="127">SUM(AJ43:AJ44)</f>
        <v>0</v>
      </c>
      <c r="AK42" s="142">
        <f t="shared" si="127"/>
        <v>0</v>
      </c>
      <c r="AL42" s="142">
        <f t="shared" si="127"/>
        <v>0</v>
      </c>
      <c r="AM42" s="142">
        <f t="shared" si="127"/>
        <v>0</v>
      </c>
      <c r="AN42" s="142">
        <f t="shared" si="127"/>
        <v>0</v>
      </c>
      <c r="AO42" s="142">
        <f t="shared" si="127"/>
        <v>0</v>
      </c>
      <c r="AP42" s="142">
        <f t="shared" si="127"/>
        <v>0</v>
      </c>
      <c r="AQ42" s="142">
        <f t="shared" si="127"/>
        <v>0</v>
      </c>
      <c r="AR42" s="142">
        <f t="shared" si="127"/>
        <v>0</v>
      </c>
      <c r="AS42" s="142">
        <f t="shared" si="127"/>
        <v>0</v>
      </c>
      <c r="AT42" s="142">
        <f t="shared" si="127"/>
        <v>0</v>
      </c>
      <c r="AU42" s="142">
        <f t="shared" si="127"/>
        <v>0</v>
      </c>
      <c r="AV42" s="142">
        <f t="shared" si="127"/>
        <v>0</v>
      </c>
      <c r="AW42" s="142">
        <f t="shared" si="127"/>
        <v>0</v>
      </c>
      <c r="AX42" s="142">
        <f t="shared" si="127"/>
        <v>0</v>
      </c>
      <c r="AY42" s="142">
        <f t="shared" si="127"/>
        <v>0</v>
      </c>
      <c r="AZ42" s="142">
        <f t="shared" si="127"/>
        <v>0</v>
      </c>
      <c r="BA42" s="142">
        <f t="shared" si="127"/>
        <v>20110471</v>
      </c>
      <c r="BB42" s="142">
        <f t="shared" si="127"/>
        <v>0</v>
      </c>
      <c r="BC42" s="142">
        <f t="shared" si="127"/>
        <v>0</v>
      </c>
      <c r="BD42" s="142">
        <f t="shared" si="127"/>
        <v>0</v>
      </c>
      <c r="BE42" s="142">
        <f t="shared" si="127"/>
        <v>0</v>
      </c>
      <c r="BF42" s="142">
        <f t="shared" si="127"/>
        <v>0</v>
      </c>
      <c r="BG42" s="142">
        <f t="shared" si="127"/>
        <v>0</v>
      </c>
      <c r="BH42" s="142">
        <f t="shared" si="127"/>
        <v>0</v>
      </c>
      <c r="BI42" s="142">
        <f t="shared" si="127"/>
        <v>0</v>
      </c>
      <c r="BJ42" s="142">
        <f t="shared" si="127"/>
        <v>0</v>
      </c>
      <c r="BK42" s="142" t="s">
        <v>937</v>
      </c>
      <c r="BL42" s="97">
        <f t="shared" ref="BL42:CL42" si="128">SUM(BL43:BL44)</f>
        <v>0</v>
      </c>
      <c r="BM42" s="97">
        <f t="shared" si="128"/>
        <v>0</v>
      </c>
      <c r="BN42" s="97">
        <f t="shared" si="128"/>
        <v>0</v>
      </c>
      <c r="BO42" s="97">
        <f t="shared" si="128"/>
        <v>0</v>
      </c>
      <c r="BP42" s="97">
        <f t="shared" si="128"/>
        <v>0</v>
      </c>
      <c r="BQ42" s="97">
        <f t="shared" si="128"/>
        <v>0</v>
      </c>
      <c r="BR42" s="97">
        <f t="shared" si="128"/>
        <v>0</v>
      </c>
      <c r="BS42" s="97">
        <f t="shared" si="128"/>
        <v>0</v>
      </c>
      <c r="BT42" s="97">
        <f t="shared" si="128"/>
        <v>0</v>
      </c>
      <c r="BU42" s="97">
        <f t="shared" si="128"/>
        <v>0</v>
      </c>
      <c r="BV42" s="97">
        <f t="shared" si="128"/>
        <v>0</v>
      </c>
      <c r="BW42" s="97">
        <f t="shared" si="128"/>
        <v>0</v>
      </c>
      <c r="BX42" s="97">
        <f t="shared" si="128"/>
        <v>0</v>
      </c>
      <c r="BY42" s="97">
        <f t="shared" si="128"/>
        <v>0</v>
      </c>
      <c r="BZ42" s="97">
        <f t="shared" si="128"/>
        <v>0</v>
      </c>
      <c r="CA42" s="97">
        <f t="shared" si="128"/>
        <v>0</v>
      </c>
      <c r="CB42" s="97">
        <f t="shared" si="128"/>
        <v>0</v>
      </c>
      <c r="CC42" s="97">
        <f t="shared" si="128"/>
        <v>0</v>
      </c>
      <c r="CD42" s="97">
        <f t="shared" si="128"/>
        <v>0</v>
      </c>
      <c r="CE42" s="97">
        <f t="shared" si="128"/>
        <v>0</v>
      </c>
      <c r="CF42" s="97">
        <f t="shared" si="128"/>
        <v>0</v>
      </c>
      <c r="CG42" s="97">
        <f t="shared" si="128"/>
        <v>0</v>
      </c>
      <c r="CH42" s="97">
        <f t="shared" si="128"/>
        <v>0</v>
      </c>
      <c r="CI42" s="97">
        <f t="shared" si="128"/>
        <v>0</v>
      </c>
      <c r="CJ42" s="97">
        <f t="shared" si="128"/>
        <v>0</v>
      </c>
      <c r="CK42" s="97">
        <f t="shared" si="128"/>
        <v>0</v>
      </c>
      <c r="CL42" s="97">
        <f t="shared" si="128"/>
        <v>0</v>
      </c>
      <c r="CM42" s="97">
        <f t="shared" ref="CM42:DR42" si="129">SUM(CM43:CM44)</f>
        <v>0</v>
      </c>
      <c r="CN42" s="97">
        <f t="shared" si="129"/>
        <v>0</v>
      </c>
      <c r="CO42" s="97">
        <f t="shared" si="129"/>
        <v>0</v>
      </c>
      <c r="CP42" s="97">
        <f t="shared" si="129"/>
        <v>0</v>
      </c>
      <c r="CQ42" s="97">
        <f t="shared" si="129"/>
        <v>0</v>
      </c>
      <c r="CR42" s="97">
        <f t="shared" si="129"/>
        <v>0</v>
      </c>
      <c r="CS42" s="97">
        <f t="shared" si="129"/>
        <v>0</v>
      </c>
      <c r="CT42" s="97">
        <f t="shared" si="129"/>
        <v>0</v>
      </c>
      <c r="CU42" s="97">
        <f t="shared" si="129"/>
        <v>0</v>
      </c>
      <c r="CV42" s="97">
        <f t="shared" si="129"/>
        <v>0</v>
      </c>
      <c r="CW42" s="97">
        <f t="shared" si="129"/>
        <v>0</v>
      </c>
      <c r="CX42" s="97">
        <f t="shared" si="129"/>
        <v>0</v>
      </c>
      <c r="CY42" s="97">
        <f t="shared" si="129"/>
        <v>0</v>
      </c>
      <c r="CZ42" s="97">
        <f t="shared" si="129"/>
        <v>0</v>
      </c>
      <c r="DA42" s="97">
        <f t="shared" si="129"/>
        <v>0</v>
      </c>
      <c r="DB42" s="97">
        <f t="shared" si="129"/>
        <v>0</v>
      </c>
      <c r="DC42" s="97">
        <f t="shared" si="129"/>
        <v>0</v>
      </c>
      <c r="DD42" s="97">
        <f t="shared" si="129"/>
        <v>0</v>
      </c>
      <c r="DE42" s="97">
        <f t="shared" si="129"/>
        <v>0</v>
      </c>
      <c r="DF42" s="97">
        <f t="shared" si="129"/>
        <v>0</v>
      </c>
      <c r="DG42" s="97">
        <f t="shared" si="129"/>
        <v>0</v>
      </c>
      <c r="DH42" s="97">
        <f t="shared" si="129"/>
        <v>0</v>
      </c>
      <c r="DI42" s="97">
        <f t="shared" si="129"/>
        <v>0</v>
      </c>
      <c r="DJ42" s="97">
        <f t="shared" si="129"/>
        <v>0</v>
      </c>
      <c r="DK42" s="97">
        <f t="shared" si="129"/>
        <v>0</v>
      </c>
      <c r="DL42" s="97">
        <f t="shared" si="129"/>
        <v>0</v>
      </c>
      <c r="DM42" s="97">
        <f t="shared" si="129"/>
        <v>0</v>
      </c>
      <c r="DN42" s="97">
        <f t="shared" si="129"/>
        <v>0</v>
      </c>
      <c r="DO42" s="97">
        <f t="shared" si="129"/>
        <v>0</v>
      </c>
      <c r="DP42" s="97">
        <f t="shared" si="129"/>
        <v>0</v>
      </c>
      <c r="DQ42" s="97">
        <f t="shared" si="129"/>
        <v>0</v>
      </c>
      <c r="DR42" s="97">
        <f t="shared" si="129"/>
        <v>0</v>
      </c>
      <c r="DS42" s="97">
        <f t="shared" ref="DS42:DY42" si="130">SUM(DS43:DS44)</f>
        <v>0</v>
      </c>
      <c r="DT42" s="97">
        <f t="shared" si="130"/>
        <v>0</v>
      </c>
      <c r="DU42" s="97">
        <f t="shared" si="130"/>
        <v>0</v>
      </c>
      <c r="DV42" s="97">
        <f t="shared" si="130"/>
        <v>0</v>
      </c>
      <c r="DW42" s="97">
        <f t="shared" si="130"/>
        <v>0</v>
      </c>
      <c r="DX42" s="97">
        <f t="shared" si="130"/>
        <v>0</v>
      </c>
      <c r="DY42" s="97">
        <f t="shared" si="130"/>
        <v>0</v>
      </c>
      <c r="DZ42" s="99"/>
      <c r="EA42" s="99"/>
      <c r="EB42" s="97">
        <f t="shared" ref="EB42:EV42" si="131">SUM(EB43:EB44)</f>
        <v>0</v>
      </c>
      <c r="EC42" s="97">
        <f t="shared" si="131"/>
        <v>0</v>
      </c>
      <c r="ED42" s="97">
        <f t="shared" si="131"/>
        <v>0</v>
      </c>
      <c r="EE42" s="97">
        <f t="shared" si="131"/>
        <v>0</v>
      </c>
      <c r="EF42" s="97">
        <f t="shared" si="131"/>
        <v>0</v>
      </c>
      <c r="EG42" s="97">
        <f t="shared" si="131"/>
        <v>0</v>
      </c>
      <c r="EH42" s="97">
        <f t="shared" si="131"/>
        <v>0</v>
      </c>
      <c r="EI42" s="97">
        <f t="shared" si="131"/>
        <v>0</v>
      </c>
      <c r="EJ42" s="97">
        <f t="shared" si="131"/>
        <v>0</v>
      </c>
      <c r="EK42" s="97">
        <f>SUM(EK43:EK44)</f>
        <v>0</v>
      </c>
      <c r="EL42" s="97">
        <f t="shared" si="131"/>
        <v>0</v>
      </c>
      <c r="EM42" s="97">
        <f t="shared" si="131"/>
        <v>0</v>
      </c>
      <c r="EN42" s="97">
        <f t="shared" si="131"/>
        <v>0</v>
      </c>
      <c r="EO42" s="97">
        <f t="shared" si="131"/>
        <v>0</v>
      </c>
      <c r="EP42" s="97">
        <f t="shared" si="131"/>
        <v>0</v>
      </c>
      <c r="EQ42" s="97">
        <f t="shared" si="131"/>
        <v>0</v>
      </c>
      <c r="ER42" s="97">
        <f t="shared" si="131"/>
        <v>0</v>
      </c>
      <c r="ES42" s="97">
        <f t="shared" si="131"/>
        <v>0</v>
      </c>
      <c r="ET42" s="97">
        <f t="shared" si="131"/>
        <v>0</v>
      </c>
      <c r="EU42" s="97">
        <f t="shared" si="131"/>
        <v>0</v>
      </c>
      <c r="EV42" s="97">
        <f t="shared" si="131"/>
        <v>0</v>
      </c>
      <c r="EW42" s="97">
        <f t="shared" ref="EW42:OV42" si="132">SUM(EW43:EW44)</f>
        <v>0</v>
      </c>
      <c r="EX42" s="97">
        <f t="shared" si="132"/>
        <v>0</v>
      </c>
      <c r="EY42" s="97">
        <f t="shared" si="132"/>
        <v>0</v>
      </c>
      <c r="EZ42" s="97">
        <f>SUM(EZ43:EZ44)</f>
        <v>0</v>
      </c>
      <c r="FA42" s="97">
        <f>SUM(FA43:FA44)</f>
        <v>0</v>
      </c>
      <c r="FB42" s="97">
        <f>SUM(FB43:FB44)</f>
        <v>0</v>
      </c>
      <c r="FC42" s="97">
        <f>SUM(FC43:FC44)</f>
        <v>0</v>
      </c>
      <c r="FD42" s="97">
        <f t="shared" si="132"/>
        <v>0</v>
      </c>
      <c r="FE42" s="97">
        <f t="shared" si="132"/>
        <v>0</v>
      </c>
      <c r="FF42" s="97">
        <f t="shared" ref="FF42:GE42" si="133">SUM(FF43:FF44)</f>
        <v>0</v>
      </c>
      <c r="FG42" s="97">
        <f t="shared" si="133"/>
        <v>0</v>
      </c>
      <c r="FH42" s="97">
        <f t="shared" si="133"/>
        <v>0</v>
      </c>
      <c r="FI42" s="97">
        <f t="shared" si="133"/>
        <v>0</v>
      </c>
      <c r="FJ42" s="97">
        <f t="shared" si="133"/>
        <v>0</v>
      </c>
      <c r="FK42" s="97">
        <f t="shared" si="133"/>
        <v>0</v>
      </c>
      <c r="FL42" s="97">
        <f t="shared" si="133"/>
        <v>0</v>
      </c>
      <c r="FM42" s="97">
        <f t="shared" si="133"/>
        <v>0</v>
      </c>
      <c r="FN42" s="97">
        <f t="shared" si="133"/>
        <v>0</v>
      </c>
      <c r="FO42" s="97">
        <f t="shared" si="133"/>
        <v>0</v>
      </c>
      <c r="FP42" s="97">
        <f t="shared" si="133"/>
        <v>0</v>
      </c>
      <c r="FQ42" s="97">
        <f t="shared" si="133"/>
        <v>0</v>
      </c>
      <c r="FR42" s="97">
        <f t="shared" si="133"/>
        <v>0</v>
      </c>
      <c r="FS42" s="97">
        <f t="shared" si="133"/>
        <v>0</v>
      </c>
      <c r="FT42" s="97">
        <f t="shared" si="133"/>
        <v>0</v>
      </c>
      <c r="FU42" s="97">
        <f t="shared" si="133"/>
        <v>0</v>
      </c>
      <c r="FV42" s="97">
        <f t="shared" si="133"/>
        <v>0</v>
      </c>
      <c r="FW42" s="97">
        <f t="shared" si="133"/>
        <v>0</v>
      </c>
      <c r="FX42" s="97">
        <f t="shared" si="133"/>
        <v>0</v>
      </c>
      <c r="FY42" s="97">
        <f t="shared" si="133"/>
        <v>0</v>
      </c>
      <c r="FZ42" s="97">
        <f t="shared" si="133"/>
        <v>0</v>
      </c>
      <c r="GA42" s="97">
        <f t="shared" si="133"/>
        <v>0</v>
      </c>
      <c r="GB42" s="97">
        <f t="shared" si="133"/>
        <v>0</v>
      </c>
      <c r="GC42" s="97">
        <f t="shared" si="133"/>
        <v>0</v>
      </c>
      <c r="GD42" s="97">
        <f t="shared" si="133"/>
        <v>0</v>
      </c>
      <c r="GE42" s="97">
        <f t="shared" si="133"/>
        <v>0</v>
      </c>
      <c r="GF42" s="99"/>
      <c r="GG42" s="99"/>
      <c r="GH42" s="97">
        <f t="shared" ref="GH42:GR42" si="134">SUM(GH43:GH44)</f>
        <v>0</v>
      </c>
      <c r="GI42" s="97">
        <f t="shared" si="134"/>
        <v>0</v>
      </c>
      <c r="GJ42" s="97">
        <f t="shared" si="134"/>
        <v>0</v>
      </c>
      <c r="GK42" s="97">
        <f t="shared" si="134"/>
        <v>0</v>
      </c>
      <c r="GL42" s="97">
        <f t="shared" si="134"/>
        <v>0</v>
      </c>
      <c r="GM42" s="97">
        <f t="shared" si="134"/>
        <v>0</v>
      </c>
      <c r="GN42" s="97">
        <f t="shared" si="134"/>
        <v>0</v>
      </c>
      <c r="GO42" s="97">
        <f t="shared" si="134"/>
        <v>0</v>
      </c>
      <c r="GP42" s="97">
        <f t="shared" si="134"/>
        <v>0</v>
      </c>
      <c r="GQ42" s="97">
        <f t="shared" si="134"/>
        <v>0</v>
      </c>
      <c r="GR42" s="97">
        <f t="shared" si="134"/>
        <v>0</v>
      </c>
      <c r="GS42" s="97">
        <f t="shared" si="132"/>
        <v>0</v>
      </c>
      <c r="GT42" s="97">
        <f t="shared" ref="GT42:HB42" si="135">SUM(GT43:GT44)</f>
        <v>0</v>
      </c>
      <c r="GU42" s="97">
        <f t="shared" si="135"/>
        <v>0</v>
      </c>
      <c r="GV42" s="97">
        <f t="shared" si="135"/>
        <v>0</v>
      </c>
      <c r="GW42" s="97">
        <f t="shared" si="135"/>
        <v>0</v>
      </c>
      <c r="GX42" s="97">
        <f t="shared" si="135"/>
        <v>0</v>
      </c>
      <c r="GY42" s="97">
        <f t="shared" si="135"/>
        <v>0</v>
      </c>
      <c r="GZ42" s="97">
        <f t="shared" si="135"/>
        <v>0</v>
      </c>
      <c r="HA42" s="97">
        <f t="shared" si="135"/>
        <v>0</v>
      </c>
      <c r="HB42" s="97">
        <f t="shared" si="135"/>
        <v>0</v>
      </c>
      <c r="HC42" s="99"/>
      <c r="HD42" s="97">
        <f>SUM(HD43:HD44)</f>
        <v>0</v>
      </c>
      <c r="HE42" s="97">
        <f>SUM(HE43:HE44)</f>
        <v>0</v>
      </c>
      <c r="HF42" s="97">
        <f>SUM(HF43:HF44)</f>
        <v>0</v>
      </c>
      <c r="HG42" s="97">
        <f>SUM(HG43:HG44)</f>
        <v>0</v>
      </c>
      <c r="HH42" s="97">
        <f t="shared" si="132"/>
        <v>0</v>
      </c>
      <c r="HI42" s="97">
        <f t="shared" ref="HI42:HN42" si="136">SUM(HI43:HI44)</f>
        <v>0</v>
      </c>
      <c r="HJ42" s="97">
        <f t="shared" si="136"/>
        <v>0</v>
      </c>
      <c r="HK42" s="97">
        <f t="shared" si="136"/>
        <v>0</v>
      </c>
      <c r="HL42" s="97">
        <f t="shared" si="136"/>
        <v>0</v>
      </c>
      <c r="HM42" s="97">
        <f t="shared" si="136"/>
        <v>0</v>
      </c>
      <c r="HN42" s="97">
        <f t="shared" si="136"/>
        <v>0</v>
      </c>
      <c r="HO42" s="99"/>
      <c r="HP42" s="97">
        <f t="shared" ref="HP42:IU42" si="137">SUM(HP43:HP44)</f>
        <v>0</v>
      </c>
      <c r="HQ42" s="97">
        <f t="shared" si="137"/>
        <v>0</v>
      </c>
      <c r="HR42" s="97">
        <f t="shared" si="137"/>
        <v>0</v>
      </c>
      <c r="HS42" s="97">
        <f t="shared" si="137"/>
        <v>0</v>
      </c>
      <c r="HT42" s="97">
        <f t="shared" si="137"/>
        <v>0</v>
      </c>
      <c r="HU42" s="97">
        <f t="shared" si="137"/>
        <v>0</v>
      </c>
      <c r="HV42" s="97">
        <f t="shared" si="137"/>
        <v>0</v>
      </c>
      <c r="HW42" s="97">
        <f t="shared" si="137"/>
        <v>0</v>
      </c>
      <c r="HX42" s="97">
        <f t="shared" si="137"/>
        <v>0</v>
      </c>
      <c r="HY42" s="97">
        <f t="shared" si="137"/>
        <v>0</v>
      </c>
      <c r="HZ42" s="97">
        <f t="shared" si="137"/>
        <v>0</v>
      </c>
      <c r="IA42" s="97">
        <f t="shared" si="137"/>
        <v>0</v>
      </c>
      <c r="IB42" s="97">
        <f t="shared" si="137"/>
        <v>0</v>
      </c>
      <c r="IC42" s="97">
        <f t="shared" si="137"/>
        <v>0</v>
      </c>
      <c r="ID42" s="97">
        <f t="shared" si="137"/>
        <v>0</v>
      </c>
      <c r="IE42" s="97">
        <f t="shared" si="137"/>
        <v>0</v>
      </c>
      <c r="IF42" s="97">
        <f t="shared" si="137"/>
        <v>0</v>
      </c>
      <c r="IG42" s="97">
        <f t="shared" si="137"/>
        <v>0</v>
      </c>
      <c r="IH42" s="97">
        <f t="shared" si="137"/>
        <v>0</v>
      </c>
      <c r="II42" s="97">
        <f t="shared" si="137"/>
        <v>0</v>
      </c>
      <c r="IJ42" s="97">
        <f t="shared" si="137"/>
        <v>0</v>
      </c>
      <c r="IK42" s="97">
        <f t="shared" si="137"/>
        <v>0</v>
      </c>
      <c r="IL42" s="97">
        <f t="shared" si="137"/>
        <v>0</v>
      </c>
      <c r="IM42" s="97">
        <f t="shared" si="137"/>
        <v>0</v>
      </c>
      <c r="IN42" s="97">
        <f t="shared" si="137"/>
        <v>0</v>
      </c>
      <c r="IO42" s="97">
        <f t="shared" si="137"/>
        <v>0</v>
      </c>
      <c r="IP42" s="97">
        <f t="shared" si="137"/>
        <v>0</v>
      </c>
      <c r="IQ42" s="97">
        <f t="shared" si="137"/>
        <v>0</v>
      </c>
      <c r="IR42" s="97">
        <f t="shared" si="137"/>
        <v>0</v>
      </c>
      <c r="IS42" s="97">
        <f t="shared" si="137"/>
        <v>0</v>
      </c>
      <c r="IT42" s="97">
        <f t="shared" si="137"/>
        <v>0</v>
      </c>
      <c r="IU42" s="97">
        <f t="shared" si="137"/>
        <v>0</v>
      </c>
      <c r="IV42" s="97">
        <f t="shared" ref="IV42:KA42" si="138">SUM(IV43:IV44)</f>
        <v>0</v>
      </c>
      <c r="IW42" s="97">
        <f t="shared" si="138"/>
        <v>0</v>
      </c>
      <c r="IX42" s="97">
        <f t="shared" si="138"/>
        <v>0</v>
      </c>
      <c r="IY42" s="97">
        <f t="shared" si="138"/>
        <v>0</v>
      </c>
      <c r="IZ42" s="97">
        <f t="shared" si="138"/>
        <v>0</v>
      </c>
      <c r="JA42" s="97">
        <f t="shared" si="138"/>
        <v>0</v>
      </c>
      <c r="JB42" s="97">
        <f t="shared" si="138"/>
        <v>0</v>
      </c>
      <c r="JC42" s="97">
        <f t="shared" si="138"/>
        <v>0</v>
      </c>
      <c r="JD42" s="97">
        <f t="shared" si="138"/>
        <v>0</v>
      </c>
      <c r="JE42" s="97">
        <f t="shared" si="138"/>
        <v>0</v>
      </c>
      <c r="JF42" s="97">
        <f t="shared" si="138"/>
        <v>0</v>
      </c>
      <c r="JG42" s="97">
        <f t="shared" si="138"/>
        <v>0</v>
      </c>
      <c r="JH42" s="97">
        <f t="shared" si="138"/>
        <v>0</v>
      </c>
      <c r="JI42" s="97">
        <f t="shared" si="138"/>
        <v>0</v>
      </c>
      <c r="JJ42" s="97">
        <f t="shared" si="138"/>
        <v>0</v>
      </c>
      <c r="JK42" s="97">
        <f t="shared" si="138"/>
        <v>0</v>
      </c>
      <c r="JL42" s="97">
        <f t="shared" si="138"/>
        <v>0</v>
      </c>
      <c r="JM42" s="97">
        <f t="shared" si="138"/>
        <v>0</v>
      </c>
      <c r="JN42" s="97">
        <f t="shared" si="138"/>
        <v>0</v>
      </c>
      <c r="JO42" s="97">
        <f t="shared" si="138"/>
        <v>0</v>
      </c>
      <c r="JP42" s="97">
        <f t="shared" si="138"/>
        <v>0</v>
      </c>
      <c r="JQ42" s="97">
        <f t="shared" si="138"/>
        <v>0</v>
      </c>
      <c r="JR42" s="97">
        <f t="shared" si="138"/>
        <v>0</v>
      </c>
      <c r="JS42" s="97">
        <f t="shared" si="138"/>
        <v>0</v>
      </c>
      <c r="JT42" s="97">
        <f t="shared" si="138"/>
        <v>0</v>
      </c>
      <c r="JU42" s="97">
        <f t="shared" si="138"/>
        <v>0</v>
      </c>
      <c r="JV42" s="97">
        <f t="shared" si="138"/>
        <v>0</v>
      </c>
      <c r="JW42" s="97">
        <f t="shared" si="138"/>
        <v>0</v>
      </c>
      <c r="JX42" s="97">
        <f t="shared" si="138"/>
        <v>0</v>
      </c>
      <c r="JY42" s="97">
        <f t="shared" si="138"/>
        <v>0</v>
      </c>
      <c r="JZ42" s="97">
        <f t="shared" si="138"/>
        <v>0</v>
      </c>
      <c r="KA42" s="97">
        <f t="shared" si="138"/>
        <v>0</v>
      </c>
      <c r="KB42" s="97">
        <f t="shared" ref="KB42:KD42" si="139">SUM(KB43:KB44)</f>
        <v>0</v>
      </c>
      <c r="KC42" s="97">
        <f t="shared" si="139"/>
        <v>0</v>
      </c>
      <c r="KD42" s="97">
        <f t="shared" si="139"/>
        <v>0</v>
      </c>
      <c r="KE42" s="97">
        <f>+KE43</f>
        <v>0</v>
      </c>
      <c r="KF42" s="99"/>
      <c r="KG42" s="97">
        <f t="shared" ref="KG42:OT42" si="140">SUM(KG43:KG44)</f>
        <v>0</v>
      </c>
      <c r="KH42" s="97">
        <f t="shared" si="140"/>
        <v>0</v>
      </c>
      <c r="KI42" s="97">
        <f t="shared" si="140"/>
        <v>0</v>
      </c>
      <c r="KJ42" s="97">
        <f t="shared" si="140"/>
        <v>0</v>
      </c>
      <c r="KK42" s="97">
        <f t="shared" si="140"/>
        <v>0</v>
      </c>
      <c r="KL42" s="97">
        <f t="shared" si="140"/>
        <v>0</v>
      </c>
      <c r="KM42" s="97">
        <f t="shared" si="140"/>
        <v>0</v>
      </c>
      <c r="KN42" s="97">
        <f t="shared" si="140"/>
        <v>0</v>
      </c>
      <c r="KO42" s="97">
        <f t="shared" si="140"/>
        <v>0</v>
      </c>
      <c r="KP42" s="97">
        <f t="shared" si="140"/>
        <v>0</v>
      </c>
      <c r="KQ42" s="97">
        <f t="shared" si="140"/>
        <v>0</v>
      </c>
      <c r="KR42" s="97">
        <f t="shared" si="140"/>
        <v>0</v>
      </c>
      <c r="KS42" s="97">
        <f t="shared" si="140"/>
        <v>0</v>
      </c>
      <c r="KT42" s="97">
        <f t="shared" si="140"/>
        <v>0</v>
      </c>
      <c r="KU42" s="97">
        <f t="shared" si="140"/>
        <v>0</v>
      </c>
      <c r="KV42" s="97">
        <f t="shared" si="140"/>
        <v>0</v>
      </c>
      <c r="KW42" s="97">
        <f t="shared" si="140"/>
        <v>0</v>
      </c>
      <c r="KX42" s="97">
        <f t="shared" si="140"/>
        <v>0</v>
      </c>
      <c r="KY42" s="97">
        <f t="shared" si="140"/>
        <v>0</v>
      </c>
      <c r="KZ42" s="97">
        <f t="shared" si="140"/>
        <v>0</v>
      </c>
      <c r="LA42" s="97">
        <f t="shared" si="140"/>
        <v>0</v>
      </c>
      <c r="LB42" s="97">
        <f t="shared" si="140"/>
        <v>0</v>
      </c>
      <c r="LC42" s="97">
        <f t="shared" ref="LC42:LE42" si="141">SUM(LC43:LC44)</f>
        <v>0</v>
      </c>
      <c r="LD42" s="97">
        <f t="shared" si="141"/>
        <v>0</v>
      </c>
      <c r="LE42" s="97">
        <f t="shared" si="141"/>
        <v>0</v>
      </c>
      <c r="LF42" s="99"/>
      <c r="LG42" s="97">
        <f>SUM(LG43:LG44)</f>
        <v>0</v>
      </c>
      <c r="LH42" s="97">
        <f>SUM(LH43:LH44)</f>
        <v>0</v>
      </c>
      <c r="LI42" s="97">
        <f>SUM(LI43:LI44)</f>
        <v>0</v>
      </c>
      <c r="LJ42" s="97">
        <f>SUM(LJ43:LJ44)</f>
        <v>0</v>
      </c>
      <c r="LK42" s="97">
        <f t="shared" ref="LK42:LQ42" si="142">SUM(LK43:LK44)</f>
        <v>0</v>
      </c>
      <c r="LL42" s="97">
        <f t="shared" si="142"/>
        <v>0</v>
      </c>
      <c r="LM42" s="97">
        <f>SUM(LM43:LM44)</f>
        <v>0</v>
      </c>
      <c r="LN42" s="97">
        <f>SUM(LN43:LN44)</f>
        <v>0</v>
      </c>
      <c r="LO42" s="97">
        <f t="shared" si="142"/>
        <v>0</v>
      </c>
      <c r="LP42" s="97">
        <f t="shared" si="142"/>
        <v>0</v>
      </c>
      <c r="LQ42" s="97">
        <f t="shared" si="142"/>
        <v>0</v>
      </c>
      <c r="LR42" s="99"/>
      <c r="LS42" s="99"/>
      <c r="LT42" s="97">
        <f t="shared" ref="LT42:MY42" si="143">SUM(LT43:LT44)</f>
        <v>0</v>
      </c>
      <c r="LU42" s="97">
        <f t="shared" si="143"/>
        <v>0</v>
      </c>
      <c r="LV42" s="97">
        <f t="shared" si="143"/>
        <v>0</v>
      </c>
      <c r="LW42" s="97">
        <f t="shared" si="143"/>
        <v>0</v>
      </c>
      <c r="LX42" s="97">
        <f t="shared" si="143"/>
        <v>0</v>
      </c>
      <c r="LY42" s="97">
        <f t="shared" si="143"/>
        <v>0</v>
      </c>
      <c r="LZ42" s="97">
        <f t="shared" si="143"/>
        <v>0</v>
      </c>
      <c r="MA42" s="97">
        <f t="shared" si="143"/>
        <v>0</v>
      </c>
      <c r="MB42" s="97">
        <f t="shared" si="143"/>
        <v>0</v>
      </c>
      <c r="MC42" s="97">
        <f t="shared" si="143"/>
        <v>0</v>
      </c>
      <c r="MD42" s="97">
        <f t="shared" si="143"/>
        <v>0</v>
      </c>
      <c r="ME42" s="97">
        <f t="shared" si="143"/>
        <v>0</v>
      </c>
      <c r="MF42" s="97">
        <f t="shared" si="143"/>
        <v>0</v>
      </c>
      <c r="MG42" s="97">
        <f t="shared" si="143"/>
        <v>0</v>
      </c>
      <c r="MH42" s="97">
        <f t="shared" si="143"/>
        <v>0</v>
      </c>
      <c r="MI42" s="97">
        <f t="shared" si="143"/>
        <v>0</v>
      </c>
      <c r="MJ42" s="97">
        <f t="shared" si="143"/>
        <v>0</v>
      </c>
      <c r="MK42" s="97">
        <f t="shared" si="143"/>
        <v>0</v>
      </c>
      <c r="ML42" s="97">
        <f t="shared" si="143"/>
        <v>0</v>
      </c>
      <c r="MM42" s="97">
        <f t="shared" si="143"/>
        <v>0</v>
      </c>
      <c r="MN42" s="97">
        <f t="shared" si="143"/>
        <v>0</v>
      </c>
      <c r="MO42" s="97">
        <f t="shared" si="143"/>
        <v>0</v>
      </c>
      <c r="MP42" s="97">
        <f t="shared" si="143"/>
        <v>0</v>
      </c>
      <c r="MQ42" s="97">
        <f t="shared" si="143"/>
        <v>0</v>
      </c>
      <c r="MR42" s="97">
        <f t="shared" si="143"/>
        <v>0</v>
      </c>
      <c r="MS42" s="97">
        <f t="shared" si="143"/>
        <v>0</v>
      </c>
      <c r="MT42" s="97">
        <f t="shared" si="143"/>
        <v>0</v>
      </c>
      <c r="MU42" s="97">
        <f t="shared" si="143"/>
        <v>0</v>
      </c>
      <c r="MV42" s="97">
        <f t="shared" si="143"/>
        <v>0</v>
      </c>
      <c r="MW42" s="97">
        <f t="shared" si="143"/>
        <v>0</v>
      </c>
      <c r="MX42" s="97">
        <f t="shared" si="143"/>
        <v>0</v>
      </c>
      <c r="MY42" s="97">
        <f t="shared" si="143"/>
        <v>0</v>
      </c>
      <c r="MZ42" s="97">
        <f t="shared" ref="MZ42:OA42" si="144">SUM(MZ43:MZ44)</f>
        <v>0</v>
      </c>
      <c r="NA42" s="97">
        <f t="shared" si="144"/>
        <v>0</v>
      </c>
      <c r="NB42" s="97">
        <f t="shared" si="144"/>
        <v>0</v>
      </c>
      <c r="NC42" s="97">
        <f t="shared" si="144"/>
        <v>0</v>
      </c>
      <c r="ND42" s="97">
        <f t="shared" si="144"/>
        <v>0</v>
      </c>
      <c r="NE42" s="97">
        <f t="shared" si="144"/>
        <v>0</v>
      </c>
      <c r="NF42" s="97">
        <f t="shared" si="144"/>
        <v>0</v>
      </c>
      <c r="NG42" s="97">
        <f t="shared" si="144"/>
        <v>0</v>
      </c>
      <c r="NH42" s="97">
        <f t="shared" si="144"/>
        <v>0</v>
      </c>
      <c r="NI42" s="97">
        <f t="shared" si="144"/>
        <v>0</v>
      </c>
      <c r="NJ42" s="97">
        <f t="shared" si="144"/>
        <v>0</v>
      </c>
      <c r="NK42" s="97">
        <f t="shared" si="144"/>
        <v>0</v>
      </c>
      <c r="NL42" s="97">
        <f t="shared" si="144"/>
        <v>0</v>
      </c>
      <c r="NM42" s="97">
        <f t="shared" si="144"/>
        <v>0</v>
      </c>
      <c r="NN42" s="97">
        <f t="shared" si="144"/>
        <v>0</v>
      </c>
      <c r="NO42" s="97">
        <f t="shared" si="144"/>
        <v>0</v>
      </c>
      <c r="NP42" s="97">
        <f t="shared" si="144"/>
        <v>0</v>
      </c>
      <c r="NQ42" s="97">
        <f t="shared" si="144"/>
        <v>0</v>
      </c>
      <c r="NR42" s="97">
        <f t="shared" si="144"/>
        <v>0</v>
      </c>
      <c r="NS42" s="97">
        <f t="shared" si="144"/>
        <v>0</v>
      </c>
      <c r="NT42" s="97">
        <f t="shared" si="144"/>
        <v>0</v>
      </c>
      <c r="NU42" s="97">
        <f t="shared" si="144"/>
        <v>0</v>
      </c>
      <c r="NV42" s="97">
        <f t="shared" si="144"/>
        <v>0</v>
      </c>
      <c r="NW42" s="97">
        <f t="shared" si="144"/>
        <v>0</v>
      </c>
      <c r="NX42" s="97">
        <f t="shared" si="144"/>
        <v>0</v>
      </c>
      <c r="NY42" s="97">
        <f t="shared" si="144"/>
        <v>0</v>
      </c>
      <c r="NZ42" s="97">
        <f t="shared" si="144"/>
        <v>0</v>
      </c>
      <c r="OA42" s="97">
        <f t="shared" si="144"/>
        <v>0</v>
      </c>
      <c r="OB42" s="97">
        <f t="shared" ref="OB42" si="145">SUM(OB43:OB44)</f>
        <v>0</v>
      </c>
      <c r="OC42" s="97">
        <f>SUM(OC43:OC44)</f>
        <v>0</v>
      </c>
      <c r="OD42" s="97">
        <f>SUM(OD43:OD44)</f>
        <v>0</v>
      </c>
      <c r="OE42" s="97">
        <f>SUM(OE43:OE44)</f>
        <v>0</v>
      </c>
      <c r="OF42" s="97">
        <f>SUM(OF43:OF44)</f>
        <v>0</v>
      </c>
      <c r="OG42" s="97">
        <f>SUM(OG43:OG44)</f>
        <v>0</v>
      </c>
      <c r="OH42" s="97">
        <f t="shared" si="140"/>
        <v>0</v>
      </c>
      <c r="OI42" s="97">
        <f t="shared" si="140"/>
        <v>0</v>
      </c>
      <c r="OJ42" s="97">
        <f>SUM(OJ43:OJ44)</f>
        <v>0</v>
      </c>
      <c r="OK42" s="97">
        <f>SUM(OK43:OK44)</f>
        <v>0</v>
      </c>
      <c r="OL42" s="97">
        <f t="shared" si="140"/>
        <v>0</v>
      </c>
      <c r="OM42" s="97">
        <f t="shared" si="140"/>
        <v>0</v>
      </c>
      <c r="ON42" s="97">
        <f>SUM(ON43:ON44)</f>
        <v>0</v>
      </c>
      <c r="OO42" s="97">
        <f t="shared" si="140"/>
        <v>0</v>
      </c>
      <c r="OP42" s="97">
        <f t="shared" si="140"/>
        <v>0</v>
      </c>
      <c r="OQ42" s="97">
        <f t="shared" si="140"/>
        <v>0</v>
      </c>
      <c r="OR42" s="97">
        <f t="shared" si="140"/>
        <v>0</v>
      </c>
      <c r="OS42" s="97">
        <f t="shared" si="140"/>
        <v>0</v>
      </c>
      <c r="OT42" s="97">
        <f t="shared" si="140"/>
        <v>0</v>
      </c>
      <c r="OU42" s="97">
        <f t="shared" si="132"/>
        <v>0</v>
      </c>
      <c r="OV42" s="97">
        <f t="shared" si="132"/>
        <v>0</v>
      </c>
      <c r="OW42" s="97">
        <f t="shared" ref="OW42:PH42" si="146">SUM(OW43:OW44)</f>
        <v>0</v>
      </c>
      <c r="OX42" s="97">
        <f t="shared" si="146"/>
        <v>0</v>
      </c>
      <c r="OY42" s="97">
        <f t="shared" si="146"/>
        <v>0</v>
      </c>
      <c r="OZ42" s="97">
        <f t="shared" si="146"/>
        <v>0</v>
      </c>
      <c r="PA42" s="97">
        <f t="shared" si="146"/>
        <v>0</v>
      </c>
      <c r="PB42" s="97">
        <f>SUM(PB43:PB44)</f>
        <v>0</v>
      </c>
      <c r="PC42" s="97">
        <f t="shared" si="146"/>
        <v>0</v>
      </c>
      <c r="PD42" s="97">
        <f>SUM(PD43:PD44)</f>
        <v>0</v>
      </c>
      <c r="PE42" s="97">
        <f t="shared" si="146"/>
        <v>0</v>
      </c>
      <c r="PF42" s="97">
        <f t="shared" si="146"/>
        <v>0</v>
      </c>
      <c r="PG42" s="97">
        <f t="shared" si="146"/>
        <v>0</v>
      </c>
      <c r="PH42" s="97">
        <f t="shared" si="146"/>
        <v>0</v>
      </c>
      <c r="PI42" s="97">
        <f>SUM(PI43:PI44)</f>
        <v>0</v>
      </c>
      <c r="PJ42" s="97">
        <f t="shared" ref="PJ42:QC42" si="147">SUM(PJ43:PJ44)</f>
        <v>0</v>
      </c>
      <c r="PK42" s="97">
        <f t="shared" si="147"/>
        <v>0</v>
      </c>
      <c r="PL42" s="97">
        <f t="shared" si="147"/>
        <v>0</v>
      </c>
      <c r="PM42" s="97">
        <f t="shared" si="147"/>
        <v>0</v>
      </c>
      <c r="PN42" s="97">
        <f t="shared" ref="PN42:PS42" si="148">SUM(PN43:PN44)</f>
        <v>0</v>
      </c>
      <c r="PO42" s="97">
        <f t="shared" si="148"/>
        <v>0</v>
      </c>
      <c r="PP42" s="97">
        <f t="shared" si="148"/>
        <v>0</v>
      </c>
      <c r="PQ42" s="97">
        <f t="shared" si="148"/>
        <v>0</v>
      </c>
      <c r="PR42" s="97">
        <f t="shared" si="148"/>
        <v>0</v>
      </c>
      <c r="PS42" s="97">
        <f t="shared" si="148"/>
        <v>0</v>
      </c>
      <c r="PT42" s="97">
        <f t="shared" si="147"/>
        <v>0</v>
      </c>
      <c r="PU42" s="97">
        <f>SUM(PU43:PU44)</f>
        <v>0</v>
      </c>
      <c r="PV42" s="97">
        <f t="shared" si="147"/>
        <v>0</v>
      </c>
      <c r="PW42" s="97">
        <f>SUM(PW43:PW44)</f>
        <v>0</v>
      </c>
      <c r="PX42" s="97">
        <f>SUM(PX43:PX44)</f>
        <v>0</v>
      </c>
      <c r="PY42" s="97">
        <f>SUM(PY43:PY44)</f>
        <v>0</v>
      </c>
      <c r="PZ42" s="97">
        <f>SUM(PZ43:PZ44)</f>
        <v>0</v>
      </c>
      <c r="QA42" s="97">
        <f>SUM(QA43:QA44)</f>
        <v>0</v>
      </c>
      <c r="QB42" s="97">
        <f t="shared" si="147"/>
        <v>0</v>
      </c>
      <c r="QC42" s="97">
        <f t="shared" si="147"/>
        <v>0</v>
      </c>
      <c r="QD42" s="97">
        <f>SUM(QD43:QD44)</f>
        <v>0</v>
      </c>
      <c r="QE42" s="97">
        <f t="shared" ref="QE42:QJ42" si="149">SUM(QE43:QE44)</f>
        <v>0</v>
      </c>
      <c r="QF42" s="97">
        <f t="shared" si="149"/>
        <v>0</v>
      </c>
      <c r="QG42" s="97">
        <f t="shared" si="149"/>
        <v>0</v>
      </c>
      <c r="QH42" s="97">
        <f t="shared" si="149"/>
        <v>0</v>
      </c>
      <c r="QI42" s="97">
        <f t="shared" si="149"/>
        <v>0</v>
      </c>
      <c r="QJ42" s="97">
        <f t="shared" si="149"/>
        <v>0</v>
      </c>
      <c r="QK42" s="97">
        <f>SUM(QK43:QK44)</f>
        <v>0</v>
      </c>
      <c r="QL42" s="97">
        <f t="shared" ref="QL42:QM42" si="150">SUM(QL43:QL44)</f>
        <v>0</v>
      </c>
      <c r="QM42" s="97">
        <f t="shared" si="150"/>
        <v>0</v>
      </c>
      <c r="QN42" s="97">
        <f>SUM(QN43:QN44)</f>
        <v>0</v>
      </c>
      <c r="QO42" s="97">
        <f>SUM(QO43:QO44)</f>
        <v>0</v>
      </c>
      <c r="QP42" s="97">
        <f t="shared" ref="QP42" si="151">SUM(QP43:QP44)</f>
        <v>0</v>
      </c>
      <c r="QQ42" s="97">
        <f>SUM(QQ43:QQ44)</f>
        <v>0</v>
      </c>
      <c r="QR42" s="97">
        <f>SUM(QR43:QR44)</f>
        <v>0</v>
      </c>
      <c r="QS42" s="97">
        <f t="shared" ref="QS42:RM42" si="152">SUM(QS43:QS44)</f>
        <v>0</v>
      </c>
      <c r="QT42" s="97">
        <f>SUM(QT43:QT44)</f>
        <v>0</v>
      </c>
      <c r="QU42" s="97">
        <f>SUM(QU43:QU44)</f>
        <v>0</v>
      </c>
      <c r="QV42" s="97">
        <f t="shared" si="152"/>
        <v>0</v>
      </c>
      <c r="QW42" s="97">
        <f t="shared" si="152"/>
        <v>0</v>
      </c>
      <c r="QX42" s="97">
        <f t="shared" si="152"/>
        <v>0</v>
      </c>
      <c r="QY42" s="97">
        <f t="shared" si="152"/>
        <v>0</v>
      </c>
      <c r="QZ42" s="97">
        <f t="shared" si="152"/>
        <v>0</v>
      </c>
      <c r="RA42" s="97">
        <f t="shared" si="152"/>
        <v>0</v>
      </c>
      <c r="RB42" s="97">
        <f t="shared" si="152"/>
        <v>0</v>
      </c>
      <c r="RC42" s="97">
        <f t="shared" si="152"/>
        <v>0</v>
      </c>
      <c r="RD42" s="97">
        <f t="shared" si="152"/>
        <v>0</v>
      </c>
      <c r="RE42" s="97">
        <f>SUM(RE43:RE44)</f>
        <v>0</v>
      </c>
      <c r="RF42" s="97">
        <f t="shared" si="152"/>
        <v>0</v>
      </c>
      <c r="RG42" s="97">
        <f t="shared" si="152"/>
        <v>0</v>
      </c>
      <c r="RH42" s="97">
        <f t="shared" si="152"/>
        <v>0</v>
      </c>
      <c r="RI42" s="97">
        <f t="shared" si="152"/>
        <v>0</v>
      </c>
      <c r="RJ42" s="97">
        <f>SUM(RJ43:RJ44)</f>
        <v>0</v>
      </c>
      <c r="RK42" s="97">
        <f t="shared" si="152"/>
        <v>0</v>
      </c>
      <c r="RL42" s="97">
        <f t="shared" si="152"/>
        <v>0</v>
      </c>
      <c r="RM42" s="97">
        <f t="shared" si="152"/>
        <v>0</v>
      </c>
      <c r="RN42" s="97">
        <f>SUM(RN43:RN44)</f>
        <v>0</v>
      </c>
    </row>
    <row r="43" spans="1:482" s="60" customFormat="1" ht="11.25" customHeight="1" x14ac:dyDescent="0.2">
      <c r="A43" s="124" t="s">
        <v>782</v>
      </c>
      <c r="B43" s="176" t="s">
        <v>869</v>
      </c>
      <c r="C43" s="176"/>
      <c r="D43" s="116">
        <f>SUM(E43:RN43)</f>
        <v>54735711.200000003</v>
      </c>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v>38220021.700000003</v>
      </c>
      <c r="AG43" s="114"/>
      <c r="AH43" s="114"/>
      <c r="AI43" s="114"/>
      <c r="AJ43" s="114"/>
      <c r="AK43" s="114"/>
      <c r="AL43" s="114"/>
      <c r="AM43" s="114"/>
      <c r="AN43" s="114"/>
      <c r="AO43" s="114"/>
      <c r="AP43" s="114"/>
      <c r="AQ43" s="114"/>
      <c r="AR43" s="114"/>
      <c r="AS43" s="114"/>
      <c r="AT43" s="114"/>
      <c r="AU43" s="114"/>
      <c r="AV43" s="114"/>
      <c r="AW43" s="114"/>
      <c r="AX43" s="114"/>
      <c r="AY43" s="114"/>
      <c r="AZ43" s="114"/>
      <c r="BA43" s="114">
        <v>16515689.5</v>
      </c>
      <c r="BB43" s="114"/>
      <c r="BC43" s="114"/>
      <c r="BD43" s="114"/>
      <c r="BE43" s="114"/>
      <c r="BF43" s="114"/>
      <c r="BG43" s="114"/>
      <c r="BH43" s="114"/>
      <c r="BI43" s="114"/>
      <c r="BJ43" s="114"/>
      <c r="BK43" s="114" t="s">
        <v>912</v>
      </c>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c r="IY43" s="99"/>
      <c r="IZ43" s="99"/>
      <c r="JA43" s="99"/>
      <c r="JB43" s="99"/>
      <c r="JC43" s="99"/>
      <c r="JD43" s="99"/>
      <c r="JE43" s="99"/>
      <c r="JF43" s="99"/>
      <c r="JG43" s="99"/>
      <c r="JH43" s="99"/>
      <c r="JI43" s="99"/>
      <c r="JJ43" s="99"/>
      <c r="JK43" s="99"/>
      <c r="JL43" s="99"/>
      <c r="JM43" s="99"/>
      <c r="JN43" s="99"/>
      <c r="JO43" s="99"/>
      <c r="JP43" s="99"/>
      <c r="JQ43" s="99"/>
      <c r="JR43" s="99"/>
      <c r="JS43" s="99"/>
      <c r="JT43" s="99"/>
      <c r="JU43" s="99"/>
      <c r="JV43" s="99"/>
      <c r="JW43" s="99"/>
      <c r="JX43" s="99"/>
      <c r="JY43" s="99"/>
      <c r="JZ43" s="99"/>
      <c r="KA43" s="99"/>
      <c r="KB43" s="99"/>
      <c r="KC43" s="99"/>
      <c r="KD43" s="99"/>
      <c r="KE43" s="99"/>
      <c r="KF43" s="99"/>
      <c r="KG43" s="99"/>
      <c r="KH43" s="99"/>
      <c r="KI43" s="99"/>
      <c r="KJ43" s="99"/>
      <c r="KK43" s="99"/>
      <c r="KL43" s="99"/>
      <c r="KM43" s="99"/>
      <c r="KN43" s="99"/>
      <c r="KO43" s="99"/>
      <c r="KP43" s="99"/>
      <c r="KQ43" s="99"/>
      <c r="KR43" s="99"/>
      <c r="KS43" s="99"/>
      <c r="KT43" s="99"/>
      <c r="KU43" s="99"/>
      <c r="KV43" s="99"/>
      <c r="KW43" s="99"/>
      <c r="KX43" s="99"/>
      <c r="KY43" s="99"/>
      <c r="KZ43" s="99"/>
      <c r="LA43" s="99"/>
      <c r="LB43" s="99"/>
      <c r="LC43" s="99"/>
      <c r="LD43" s="99"/>
      <c r="LE43" s="99"/>
      <c r="LF43" s="99"/>
      <c r="LG43" s="99"/>
      <c r="LH43" s="99"/>
      <c r="LI43" s="99"/>
      <c r="LJ43" s="99"/>
      <c r="LK43" s="99"/>
      <c r="LL43" s="99"/>
      <c r="LM43" s="99"/>
      <c r="LN43" s="99"/>
      <c r="LO43" s="99"/>
      <c r="LP43" s="99"/>
      <c r="LQ43" s="99"/>
      <c r="LR43" s="99"/>
      <c r="LS43" s="99"/>
      <c r="LT43" s="99"/>
      <c r="LU43" s="99"/>
      <c r="LV43" s="99"/>
      <c r="LW43" s="99"/>
      <c r="LX43" s="99"/>
      <c r="LY43" s="99"/>
      <c r="LZ43" s="99"/>
      <c r="MA43" s="99"/>
      <c r="MB43" s="99"/>
      <c r="MC43" s="99"/>
      <c r="MD43" s="99"/>
      <c r="ME43" s="99"/>
      <c r="MF43" s="99"/>
      <c r="MG43" s="99"/>
      <c r="MH43" s="99"/>
      <c r="MI43" s="99"/>
      <c r="MJ43" s="99"/>
      <c r="MK43" s="99"/>
      <c r="ML43" s="99"/>
      <c r="MM43" s="99"/>
      <c r="MN43" s="99"/>
      <c r="MO43" s="99"/>
      <c r="MP43" s="99"/>
      <c r="MQ43" s="99"/>
      <c r="MR43" s="99"/>
      <c r="MS43" s="99"/>
      <c r="MT43" s="99"/>
      <c r="MU43" s="99"/>
      <c r="MV43" s="99"/>
      <c r="MW43" s="99"/>
      <c r="MX43" s="99"/>
      <c r="MY43" s="99"/>
      <c r="MZ43" s="99"/>
      <c r="NA43" s="99"/>
      <c r="NB43" s="99"/>
      <c r="NC43" s="99"/>
      <c r="ND43" s="99"/>
      <c r="NE43" s="99"/>
      <c r="NF43" s="99"/>
      <c r="NG43" s="99"/>
      <c r="NH43" s="99"/>
      <c r="NI43" s="99"/>
      <c r="NJ43" s="99"/>
      <c r="NK43" s="99"/>
      <c r="NL43" s="99"/>
      <c r="NM43" s="99"/>
      <c r="NN43" s="99"/>
      <c r="NO43" s="99"/>
      <c r="NP43" s="99"/>
      <c r="NQ43" s="99"/>
      <c r="NR43" s="99"/>
      <c r="NS43" s="99"/>
      <c r="NT43" s="99"/>
      <c r="NU43" s="99"/>
      <c r="NV43" s="99"/>
      <c r="NW43" s="99"/>
      <c r="NX43" s="99"/>
      <c r="NY43" s="99"/>
      <c r="NZ43" s="99"/>
      <c r="OA43" s="99"/>
      <c r="OB43" s="99"/>
      <c r="OC43" s="99"/>
      <c r="OD43" s="99"/>
      <c r="OE43" s="99"/>
      <c r="OF43" s="99"/>
      <c r="OG43" s="99"/>
      <c r="OH43" s="99"/>
      <c r="OI43" s="99"/>
      <c r="OJ43" s="99"/>
      <c r="OK43" s="99"/>
      <c r="OL43" s="99"/>
      <c r="OM43" s="99"/>
      <c r="ON43" s="99"/>
      <c r="OO43" s="99"/>
      <c r="OP43" s="99"/>
      <c r="OQ43" s="99"/>
      <c r="OR43" s="99"/>
      <c r="OS43" s="99"/>
      <c r="OT43" s="99"/>
      <c r="OU43" s="99"/>
      <c r="OV43" s="99"/>
      <c r="OW43" s="99"/>
      <c r="OX43" s="99"/>
      <c r="OY43" s="99"/>
      <c r="OZ43" s="99"/>
      <c r="PA43" s="99"/>
      <c r="PB43" s="99"/>
      <c r="PC43" s="99"/>
      <c r="PD43" s="99"/>
      <c r="PE43" s="99"/>
      <c r="PF43" s="99"/>
      <c r="PG43" s="99"/>
      <c r="PH43" s="99"/>
      <c r="PI43" s="99"/>
      <c r="PJ43" s="99"/>
      <c r="PK43" s="99"/>
      <c r="PL43" s="99"/>
      <c r="PM43" s="99"/>
      <c r="PN43" s="99"/>
      <c r="PO43" s="99"/>
      <c r="PP43" s="99"/>
      <c r="PQ43" s="99"/>
      <c r="PR43" s="99"/>
      <c r="PS43" s="99"/>
      <c r="PT43" s="99"/>
      <c r="PU43" s="99"/>
      <c r="PV43" s="99"/>
      <c r="PW43" s="99"/>
      <c r="PX43" s="99"/>
      <c r="PY43" s="99"/>
      <c r="PZ43" s="99"/>
      <c r="QA43" s="99"/>
      <c r="QB43" s="99"/>
      <c r="QC43" s="99"/>
      <c r="QD43" s="99"/>
      <c r="QE43" s="99"/>
      <c r="QF43" s="99"/>
      <c r="QG43" s="99"/>
      <c r="QH43" s="99"/>
      <c r="QI43" s="99"/>
      <c r="QJ43" s="99"/>
      <c r="QK43" s="99"/>
      <c r="QL43" s="99"/>
      <c r="QM43" s="99"/>
      <c r="QN43" s="99"/>
      <c r="QO43" s="99"/>
      <c r="QP43" s="99"/>
      <c r="QQ43" s="99"/>
      <c r="QR43" s="99"/>
      <c r="QS43" s="99"/>
      <c r="QT43" s="99"/>
      <c r="QU43" s="99"/>
      <c r="QV43" s="99"/>
      <c r="QW43" s="99"/>
      <c r="QX43" s="99"/>
      <c r="QY43" s="99"/>
      <c r="QZ43" s="99"/>
      <c r="RA43" s="99"/>
      <c r="RB43" s="99"/>
      <c r="RC43" s="99"/>
      <c r="RD43" s="99"/>
      <c r="RE43" s="99"/>
      <c r="RF43" s="99"/>
      <c r="RG43" s="99"/>
      <c r="RH43" s="99"/>
      <c r="RI43" s="99"/>
      <c r="RJ43" s="99"/>
      <c r="RK43" s="99"/>
      <c r="RL43" s="99"/>
      <c r="RM43" s="99"/>
      <c r="RN43" s="99"/>
    </row>
    <row r="44" spans="1:482" s="60" customFormat="1" ht="11.25" x14ac:dyDescent="0.2">
      <c r="A44" s="124" t="s">
        <v>783</v>
      </c>
      <c r="B44" s="176" t="s">
        <v>784</v>
      </c>
      <c r="C44" s="176"/>
      <c r="D44" s="116">
        <f>SUM(E44:RN44)</f>
        <v>3594781.5</v>
      </c>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v>3594781.5</v>
      </c>
      <c r="BB44" s="114"/>
      <c r="BC44" s="114"/>
      <c r="BD44" s="114"/>
      <c r="BE44" s="114"/>
      <c r="BF44" s="114"/>
      <c r="BG44" s="114"/>
      <c r="BH44" s="114"/>
      <c r="BI44" s="114"/>
      <c r="BJ44" s="114"/>
      <c r="BK44" s="114" t="s">
        <v>912</v>
      </c>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c r="IW44" s="99"/>
      <c r="IX44" s="99"/>
      <c r="IY44" s="99"/>
      <c r="IZ44" s="99"/>
      <c r="JA44" s="99"/>
      <c r="JB44" s="99"/>
      <c r="JC44" s="99"/>
      <c r="JD44" s="99"/>
      <c r="JE44" s="99"/>
      <c r="JF44" s="99"/>
      <c r="JG44" s="99"/>
      <c r="JH44" s="99"/>
      <c r="JI44" s="99"/>
      <c r="JJ44" s="99"/>
      <c r="JK44" s="99"/>
      <c r="JL44" s="99"/>
      <c r="JM44" s="99"/>
      <c r="JN44" s="99"/>
      <c r="JO44" s="99"/>
      <c r="JP44" s="99"/>
      <c r="JQ44" s="99"/>
      <c r="JR44" s="99"/>
      <c r="JS44" s="99"/>
      <c r="JT44" s="99"/>
      <c r="JU44" s="99"/>
      <c r="JV44" s="99"/>
      <c r="JW44" s="99"/>
      <c r="JX44" s="99"/>
      <c r="JY44" s="99"/>
      <c r="JZ44" s="99"/>
      <c r="KA44" s="99"/>
      <c r="KB44" s="99"/>
      <c r="KC44" s="99"/>
      <c r="KD44" s="99"/>
      <c r="KE44" s="99"/>
      <c r="KF44" s="99"/>
      <c r="KG44" s="99"/>
      <c r="KH44" s="99"/>
      <c r="KI44" s="99"/>
      <c r="KJ44" s="99"/>
      <c r="KK44" s="99"/>
      <c r="KL44" s="99"/>
      <c r="KM44" s="99"/>
      <c r="KN44" s="99"/>
      <c r="KO44" s="99"/>
      <c r="KP44" s="99"/>
      <c r="KQ44" s="99"/>
      <c r="KR44" s="99"/>
      <c r="KS44" s="99"/>
      <c r="KT44" s="99"/>
      <c r="KU44" s="99"/>
      <c r="KV44" s="99"/>
      <c r="KW44" s="99"/>
      <c r="KX44" s="99"/>
      <c r="KY44" s="99"/>
      <c r="KZ44" s="99"/>
      <c r="LA44" s="99"/>
      <c r="LB44" s="99"/>
      <c r="LC44" s="99"/>
      <c r="LD44" s="99"/>
      <c r="LE44" s="99"/>
      <c r="LF44" s="99"/>
      <c r="LG44" s="99"/>
      <c r="LH44" s="99"/>
      <c r="LI44" s="99"/>
      <c r="LJ44" s="99"/>
      <c r="LK44" s="99"/>
      <c r="LL44" s="99"/>
      <c r="LM44" s="99"/>
      <c r="LN44" s="99"/>
      <c r="LO44" s="99"/>
      <c r="LP44" s="99"/>
      <c r="LQ44" s="99"/>
      <c r="LR44" s="99"/>
      <c r="LS44" s="99"/>
      <c r="LT44" s="99"/>
      <c r="LU44" s="99"/>
      <c r="LV44" s="99"/>
      <c r="LW44" s="99"/>
      <c r="LX44" s="99"/>
      <c r="LY44" s="99"/>
      <c r="LZ44" s="99"/>
      <c r="MA44" s="99"/>
      <c r="MB44" s="99"/>
      <c r="MC44" s="99"/>
      <c r="MD44" s="99"/>
      <c r="ME44" s="99"/>
      <c r="MF44" s="99"/>
      <c r="MG44" s="99"/>
      <c r="MH44" s="99"/>
      <c r="MI44" s="99"/>
      <c r="MJ44" s="99"/>
      <c r="MK44" s="99"/>
      <c r="ML44" s="99"/>
      <c r="MM44" s="99"/>
      <c r="MN44" s="99"/>
      <c r="MO44" s="99"/>
      <c r="MP44" s="99"/>
      <c r="MQ44" s="99"/>
      <c r="MR44" s="99"/>
      <c r="MS44" s="99"/>
      <c r="MT44" s="99"/>
      <c r="MU44" s="99"/>
      <c r="MV44" s="99"/>
      <c r="MW44" s="99"/>
      <c r="MX44" s="99"/>
      <c r="MY44" s="99"/>
      <c r="MZ44" s="99"/>
      <c r="NA44" s="99"/>
      <c r="NB44" s="99"/>
      <c r="NC44" s="99"/>
      <c r="ND44" s="99"/>
      <c r="NE44" s="99"/>
      <c r="NF44" s="99"/>
      <c r="NG44" s="99"/>
      <c r="NH44" s="99"/>
      <c r="NI44" s="99"/>
      <c r="NJ44" s="99"/>
      <c r="NK44" s="99"/>
      <c r="NL44" s="99"/>
      <c r="NM44" s="99"/>
      <c r="NN44" s="99"/>
      <c r="NO44" s="99"/>
      <c r="NP44" s="99"/>
      <c r="NQ44" s="99"/>
      <c r="NR44" s="99"/>
      <c r="NS44" s="99"/>
      <c r="NT44" s="99"/>
      <c r="NU44" s="99"/>
      <c r="NV44" s="99"/>
      <c r="NW44" s="99"/>
      <c r="NX44" s="99"/>
      <c r="NY44" s="99"/>
      <c r="NZ44" s="99"/>
      <c r="OA44" s="99"/>
      <c r="OB44" s="99"/>
      <c r="OC44" s="99"/>
      <c r="OD44" s="99"/>
      <c r="OE44" s="99"/>
      <c r="OF44" s="99"/>
      <c r="OG44" s="99"/>
      <c r="OH44" s="99"/>
      <c r="OI44" s="99"/>
      <c r="OJ44" s="99"/>
      <c r="OK44" s="99"/>
      <c r="OL44" s="99"/>
      <c r="OM44" s="99"/>
      <c r="ON44" s="99"/>
      <c r="OO44" s="99"/>
      <c r="OP44" s="99"/>
      <c r="OQ44" s="99"/>
      <c r="OR44" s="99"/>
      <c r="OS44" s="99"/>
      <c r="OT44" s="99"/>
      <c r="OU44" s="99"/>
      <c r="OV44" s="99"/>
      <c r="OW44" s="99"/>
      <c r="OX44" s="99"/>
      <c r="OY44" s="99"/>
      <c r="OZ44" s="99"/>
      <c r="PA44" s="99"/>
      <c r="PB44" s="99"/>
      <c r="PC44" s="99"/>
      <c r="PD44" s="99"/>
      <c r="PE44" s="99"/>
      <c r="PF44" s="99"/>
      <c r="PG44" s="99"/>
      <c r="PH44" s="99"/>
      <c r="PI44" s="99"/>
      <c r="PJ44" s="99"/>
      <c r="PK44" s="99"/>
      <c r="PL44" s="99"/>
      <c r="PM44" s="99"/>
      <c r="PN44" s="99"/>
      <c r="PO44" s="99"/>
      <c r="PP44" s="99"/>
      <c r="PQ44" s="99"/>
      <c r="PR44" s="99"/>
      <c r="PS44" s="99"/>
      <c r="PT44" s="99"/>
      <c r="PU44" s="99"/>
      <c r="PV44" s="99"/>
      <c r="PW44" s="99"/>
      <c r="PX44" s="99"/>
      <c r="PY44" s="99"/>
      <c r="PZ44" s="99"/>
      <c r="QA44" s="99"/>
      <c r="QB44" s="99"/>
      <c r="QC44" s="99"/>
      <c r="QD44" s="99"/>
      <c r="QE44" s="99"/>
      <c r="QF44" s="99"/>
      <c r="QG44" s="99"/>
      <c r="QH44" s="99"/>
      <c r="QI44" s="99"/>
      <c r="QJ44" s="99"/>
      <c r="QK44" s="99"/>
      <c r="QL44" s="99"/>
      <c r="QM44" s="99"/>
      <c r="QN44" s="99"/>
      <c r="QO44" s="99"/>
      <c r="QP44" s="99"/>
      <c r="QQ44" s="99"/>
      <c r="QR44" s="99"/>
      <c r="QS44" s="99"/>
      <c r="QT44" s="99"/>
      <c r="QU44" s="99"/>
      <c r="QV44" s="99"/>
      <c r="QW44" s="99"/>
      <c r="QX44" s="99"/>
      <c r="QY44" s="99"/>
      <c r="QZ44" s="99"/>
      <c r="RA44" s="99"/>
      <c r="RB44" s="99"/>
      <c r="RC44" s="99"/>
      <c r="RD44" s="99"/>
      <c r="RE44" s="99"/>
      <c r="RF44" s="99"/>
      <c r="RG44" s="99"/>
      <c r="RH44" s="99"/>
      <c r="RI44" s="99"/>
      <c r="RJ44" s="99"/>
      <c r="RK44" s="99"/>
      <c r="RL44" s="99"/>
      <c r="RM44" s="99"/>
      <c r="RN44" s="99"/>
    </row>
    <row r="45" spans="1:482" s="60" customFormat="1" ht="11.25" x14ac:dyDescent="0.2">
      <c r="A45" s="180" t="s">
        <v>870</v>
      </c>
      <c r="B45" s="180"/>
      <c r="C45" s="180"/>
      <c r="D45" s="156">
        <f>SUM(E45:RN45)</f>
        <v>14137971.990000028</v>
      </c>
      <c r="E45" s="142">
        <f t="shared" ref="E45:AJ45" si="153">+E46</f>
        <v>0</v>
      </c>
      <c r="F45" s="142">
        <f t="shared" si="153"/>
        <v>1534</v>
      </c>
      <c r="G45" s="142">
        <f t="shared" si="153"/>
        <v>1052.0999999999999</v>
      </c>
      <c r="H45" s="142">
        <f t="shared" si="153"/>
        <v>102822.3</v>
      </c>
      <c r="I45" s="142">
        <f t="shared" si="153"/>
        <v>7426.4000000000096</v>
      </c>
      <c r="J45" s="142">
        <f t="shared" si="153"/>
        <v>7931871.4000000004</v>
      </c>
      <c r="K45" s="142">
        <f t="shared" si="153"/>
        <v>16129.4</v>
      </c>
      <c r="L45" s="142">
        <f t="shared" si="153"/>
        <v>1190</v>
      </c>
      <c r="M45" s="142">
        <f t="shared" si="153"/>
        <v>1263.2</v>
      </c>
      <c r="N45" s="142">
        <f t="shared" si="153"/>
        <v>0</v>
      </c>
      <c r="O45" s="142">
        <f t="shared" si="153"/>
        <v>0</v>
      </c>
      <c r="P45" s="142">
        <f t="shared" si="153"/>
        <v>24763.9</v>
      </c>
      <c r="Q45" s="142">
        <f t="shared" si="153"/>
        <v>324</v>
      </c>
      <c r="R45" s="142">
        <f t="shared" si="153"/>
        <v>162031.29999999999</v>
      </c>
      <c r="S45" s="142">
        <f t="shared" si="153"/>
        <v>5653.9</v>
      </c>
      <c r="T45" s="142">
        <f t="shared" si="153"/>
        <v>11757.1</v>
      </c>
      <c r="U45" s="142">
        <f t="shared" si="153"/>
        <v>0</v>
      </c>
      <c r="V45" s="142">
        <f t="shared" si="153"/>
        <v>110.099999999999</v>
      </c>
      <c r="W45" s="142">
        <f t="shared" si="153"/>
        <v>0</v>
      </c>
      <c r="X45" s="142">
        <f t="shared" si="153"/>
        <v>9120.8999999999705</v>
      </c>
      <c r="Y45" s="142">
        <f t="shared" si="153"/>
        <v>-9.9999999976716894E-2</v>
      </c>
      <c r="Z45" s="142">
        <f t="shared" si="153"/>
        <v>1183.7</v>
      </c>
      <c r="AA45" s="142">
        <f t="shared" si="153"/>
        <v>0</v>
      </c>
      <c r="AB45" s="142">
        <f t="shared" si="153"/>
        <v>777.59999999997694</v>
      </c>
      <c r="AC45" s="142">
        <f t="shared" si="153"/>
        <v>310304.2</v>
      </c>
      <c r="AD45" s="142">
        <f t="shared" si="153"/>
        <v>2889.7999999999902</v>
      </c>
      <c r="AE45" s="142">
        <f t="shared" si="153"/>
        <v>2079513.3000000301</v>
      </c>
      <c r="AF45" s="142">
        <f t="shared" si="153"/>
        <v>0</v>
      </c>
      <c r="AG45" s="142">
        <f t="shared" si="153"/>
        <v>45858.1</v>
      </c>
      <c r="AH45" s="142">
        <f t="shared" si="153"/>
        <v>0</v>
      </c>
      <c r="AI45" s="142">
        <f t="shared" si="153"/>
        <v>33660.6</v>
      </c>
      <c r="AJ45" s="142">
        <f t="shared" si="153"/>
        <v>82016.800000000003</v>
      </c>
      <c r="AK45" s="142">
        <f t="shared" ref="AK45:BJ45" si="154">+AK46</f>
        <v>542723.09</v>
      </c>
      <c r="AL45" s="142">
        <f t="shared" si="154"/>
        <v>1000</v>
      </c>
      <c r="AM45" s="142">
        <f t="shared" si="154"/>
        <v>9500</v>
      </c>
      <c r="AN45" s="142">
        <f t="shared" si="154"/>
        <v>3421.8</v>
      </c>
      <c r="AO45" s="142">
        <f t="shared" si="154"/>
        <v>0</v>
      </c>
      <c r="AP45" s="142">
        <f t="shared" si="154"/>
        <v>32998.3999999999</v>
      </c>
      <c r="AQ45" s="142">
        <f t="shared" si="154"/>
        <v>54253.399999999303</v>
      </c>
      <c r="AR45" s="142">
        <f t="shared" si="154"/>
        <v>1426.6000000000099</v>
      </c>
      <c r="AS45" s="142">
        <f t="shared" si="154"/>
        <v>999.99999999999295</v>
      </c>
      <c r="AT45" s="142">
        <f t="shared" si="154"/>
        <v>0</v>
      </c>
      <c r="AU45" s="142">
        <f t="shared" si="154"/>
        <v>889.1</v>
      </c>
      <c r="AV45" s="142">
        <f t="shared" si="154"/>
        <v>0</v>
      </c>
      <c r="AW45" s="142">
        <f t="shared" si="154"/>
        <v>0</v>
      </c>
      <c r="AX45" s="142">
        <f t="shared" si="154"/>
        <v>0</v>
      </c>
      <c r="AY45" s="142">
        <f t="shared" si="154"/>
        <v>0</v>
      </c>
      <c r="AZ45" s="142">
        <f t="shared" si="154"/>
        <v>1536</v>
      </c>
      <c r="BA45" s="142">
        <f t="shared" si="154"/>
        <v>16211</v>
      </c>
      <c r="BB45" s="142">
        <f t="shared" si="154"/>
        <v>90657.8</v>
      </c>
      <c r="BC45" s="142">
        <f t="shared" si="154"/>
        <v>311169.09999999998</v>
      </c>
      <c r="BD45" s="142">
        <f t="shared" si="154"/>
        <v>40000.400000000103</v>
      </c>
      <c r="BE45" s="142">
        <f t="shared" si="154"/>
        <v>205911.7</v>
      </c>
      <c r="BF45" s="142">
        <f t="shared" si="154"/>
        <v>110.6</v>
      </c>
      <c r="BG45" s="142">
        <f t="shared" si="154"/>
        <v>42</v>
      </c>
      <c r="BH45" s="142">
        <f t="shared" si="154"/>
        <v>693.60000000000605</v>
      </c>
      <c r="BI45" s="142">
        <f t="shared" si="154"/>
        <v>5329.1</v>
      </c>
      <c r="BJ45" s="142">
        <f t="shared" si="154"/>
        <v>39856.800000000003</v>
      </c>
      <c r="BK45" s="142" t="s">
        <v>938</v>
      </c>
      <c r="BL45" s="97">
        <f t="shared" ref="BL45:CL45" si="155">+BL46</f>
        <v>60</v>
      </c>
      <c r="BM45" s="97">
        <f t="shared" si="155"/>
        <v>0</v>
      </c>
      <c r="BN45" s="97">
        <f t="shared" si="155"/>
        <v>2000.0000000000036</v>
      </c>
      <c r="BO45" s="97">
        <f t="shared" si="155"/>
        <v>3492.2000000000007</v>
      </c>
      <c r="BP45" s="97">
        <f t="shared" si="155"/>
        <v>0</v>
      </c>
      <c r="BQ45" s="97">
        <f t="shared" si="155"/>
        <v>4517</v>
      </c>
      <c r="BR45" s="97">
        <f t="shared" si="155"/>
        <v>136.19999999999999</v>
      </c>
      <c r="BS45" s="97">
        <f t="shared" si="155"/>
        <v>1000</v>
      </c>
      <c r="BT45" s="97">
        <f t="shared" si="155"/>
        <v>0</v>
      </c>
      <c r="BU45" s="97">
        <f t="shared" si="155"/>
        <v>0</v>
      </c>
      <c r="BV45" s="97">
        <f t="shared" si="155"/>
        <v>0</v>
      </c>
      <c r="BW45" s="97">
        <f t="shared" si="155"/>
        <v>134.20000000000073</v>
      </c>
      <c r="BX45" s="97">
        <f t="shared" si="155"/>
        <v>-9.9999999998544808E-2</v>
      </c>
      <c r="BY45" s="97">
        <f t="shared" si="155"/>
        <v>6083.8</v>
      </c>
      <c r="BZ45" s="97">
        <f t="shared" si="155"/>
        <v>7946.5</v>
      </c>
      <c r="CA45" s="97">
        <f t="shared" si="155"/>
        <v>0</v>
      </c>
      <c r="CB45" s="97">
        <f t="shared" si="155"/>
        <v>0</v>
      </c>
      <c r="CC45" s="97">
        <f t="shared" si="155"/>
        <v>6</v>
      </c>
      <c r="CD45" s="97">
        <f t="shared" si="155"/>
        <v>-0.10000000000582077</v>
      </c>
      <c r="CE45" s="97">
        <f t="shared" si="155"/>
        <v>6060.4</v>
      </c>
      <c r="CF45" s="97">
        <f t="shared" si="155"/>
        <v>0</v>
      </c>
      <c r="CG45" s="97">
        <f t="shared" si="155"/>
        <v>0</v>
      </c>
      <c r="CH45" s="97">
        <f t="shared" si="155"/>
        <v>500</v>
      </c>
      <c r="CI45" s="97">
        <f t="shared" si="155"/>
        <v>0</v>
      </c>
      <c r="CJ45" s="97">
        <f t="shared" si="155"/>
        <v>2454.2000000000007</v>
      </c>
      <c r="CK45" s="97">
        <f t="shared" si="155"/>
        <v>0</v>
      </c>
      <c r="CL45" s="97">
        <f t="shared" si="155"/>
        <v>135</v>
      </c>
      <c r="CM45" s="97">
        <f t="shared" ref="CM45:DR45" si="156">+CM46</f>
        <v>150549.79999999999</v>
      </c>
      <c r="CN45" s="97">
        <f t="shared" si="156"/>
        <v>0</v>
      </c>
      <c r="CO45" s="97">
        <f t="shared" si="156"/>
        <v>582.60000000000036</v>
      </c>
      <c r="CP45" s="97">
        <f t="shared" si="156"/>
        <v>432</v>
      </c>
      <c r="CQ45" s="97">
        <f t="shared" si="156"/>
        <v>0</v>
      </c>
      <c r="CR45" s="97">
        <f t="shared" si="156"/>
        <v>0</v>
      </c>
      <c r="CS45" s="97">
        <f t="shared" si="156"/>
        <v>29292.800000000279</v>
      </c>
      <c r="CT45" s="97">
        <f t="shared" si="156"/>
        <v>0</v>
      </c>
      <c r="CU45" s="97">
        <f t="shared" si="156"/>
        <v>0</v>
      </c>
      <c r="CV45" s="97">
        <f t="shared" si="156"/>
        <v>0</v>
      </c>
      <c r="CW45" s="97">
        <f t="shared" si="156"/>
        <v>0</v>
      </c>
      <c r="CX45" s="97">
        <f t="shared" si="156"/>
        <v>0</v>
      </c>
      <c r="CY45" s="97">
        <f t="shared" si="156"/>
        <v>0</v>
      </c>
      <c r="CZ45" s="97">
        <f t="shared" si="156"/>
        <v>0</v>
      </c>
      <c r="DA45" s="97">
        <f t="shared" si="156"/>
        <v>0</v>
      </c>
      <c r="DB45" s="97">
        <f t="shared" si="156"/>
        <v>0</v>
      </c>
      <c r="DC45" s="97">
        <f t="shared" si="156"/>
        <v>0</v>
      </c>
      <c r="DD45" s="97">
        <f t="shared" si="156"/>
        <v>0</v>
      </c>
      <c r="DE45" s="97">
        <f t="shared" si="156"/>
        <v>0</v>
      </c>
      <c r="DF45" s="97">
        <f t="shared" si="156"/>
        <v>0</v>
      </c>
      <c r="DG45" s="97">
        <f t="shared" si="156"/>
        <v>0</v>
      </c>
      <c r="DH45" s="97">
        <f t="shared" si="156"/>
        <v>0</v>
      </c>
      <c r="DI45" s="97">
        <f t="shared" si="156"/>
        <v>0</v>
      </c>
      <c r="DJ45" s="97">
        <f t="shared" si="156"/>
        <v>0</v>
      </c>
      <c r="DK45" s="97">
        <f t="shared" si="156"/>
        <v>0</v>
      </c>
      <c r="DL45" s="97">
        <f t="shared" si="156"/>
        <v>1656.5</v>
      </c>
      <c r="DM45" s="97">
        <f t="shared" si="156"/>
        <v>0</v>
      </c>
      <c r="DN45" s="97">
        <f t="shared" si="156"/>
        <v>127.4</v>
      </c>
      <c r="DO45" s="97">
        <f t="shared" si="156"/>
        <v>0</v>
      </c>
      <c r="DP45" s="97">
        <f t="shared" si="156"/>
        <v>0</v>
      </c>
      <c r="DQ45" s="97">
        <f t="shared" si="156"/>
        <v>0</v>
      </c>
      <c r="DR45" s="97">
        <f t="shared" si="156"/>
        <v>0</v>
      </c>
      <c r="DS45" s="97">
        <f t="shared" ref="DS45:DY45" si="157">+DS46</f>
        <v>0</v>
      </c>
      <c r="DT45" s="97">
        <f t="shared" si="157"/>
        <v>0</v>
      </c>
      <c r="DU45" s="97">
        <f t="shared" si="157"/>
        <v>0</v>
      </c>
      <c r="DV45" s="97">
        <f t="shared" si="157"/>
        <v>0</v>
      </c>
      <c r="DW45" s="97">
        <f t="shared" si="157"/>
        <v>0</v>
      </c>
      <c r="DX45" s="97">
        <f t="shared" si="157"/>
        <v>0</v>
      </c>
      <c r="DY45" s="97">
        <f t="shared" si="157"/>
        <v>0</v>
      </c>
      <c r="DZ45" s="99"/>
      <c r="EA45" s="99"/>
      <c r="EB45" s="97">
        <f t="shared" ref="EB45:EV45" si="158">+EB46</f>
        <v>0</v>
      </c>
      <c r="EC45" s="97">
        <f t="shared" si="158"/>
        <v>0</v>
      </c>
      <c r="ED45" s="97">
        <f t="shared" si="158"/>
        <v>0</v>
      </c>
      <c r="EE45" s="97">
        <f t="shared" si="158"/>
        <v>0</v>
      </c>
      <c r="EF45" s="97">
        <f t="shared" si="158"/>
        <v>0</v>
      </c>
      <c r="EG45" s="97">
        <f t="shared" si="158"/>
        <v>0</v>
      </c>
      <c r="EH45" s="97">
        <f t="shared" si="158"/>
        <v>0</v>
      </c>
      <c r="EI45" s="97">
        <f t="shared" si="158"/>
        <v>591807.19999999995</v>
      </c>
      <c r="EJ45" s="97">
        <f t="shared" si="158"/>
        <v>0</v>
      </c>
      <c r="EK45" s="97">
        <f>+EK46</f>
        <v>305.10000000000036</v>
      </c>
      <c r="EL45" s="97">
        <f t="shared" si="158"/>
        <v>0</v>
      </c>
      <c r="EM45" s="97">
        <f t="shared" si="158"/>
        <v>0</v>
      </c>
      <c r="EN45" s="97">
        <f t="shared" si="158"/>
        <v>0</v>
      </c>
      <c r="EO45" s="97">
        <f t="shared" si="158"/>
        <v>3516.7000000000044</v>
      </c>
      <c r="EP45" s="97">
        <f t="shared" si="158"/>
        <v>0</v>
      </c>
      <c r="EQ45" s="97">
        <f t="shared" si="158"/>
        <v>1758.0999999999995</v>
      </c>
      <c r="ER45" s="97">
        <f t="shared" si="158"/>
        <v>80646.700000000012</v>
      </c>
      <c r="ES45" s="97">
        <f t="shared" si="158"/>
        <v>0</v>
      </c>
      <c r="ET45" s="97">
        <f t="shared" si="158"/>
        <v>8778.2000000000007</v>
      </c>
      <c r="EU45" s="97">
        <f t="shared" si="158"/>
        <v>0</v>
      </c>
      <c r="EV45" s="97">
        <f t="shared" si="158"/>
        <v>1000</v>
      </c>
      <c r="EW45" s="97">
        <f t="shared" ref="EW45:OV45" si="159">+EW46</f>
        <v>0</v>
      </c>
      <c r="EX45" s="97">
        <f t="shared" si="159"/>
        <v>0</v>
      </c>
      <c r="EY45" s="97">
        <f t="shared" si="159"/>
        <v>0</v>
      </c>
      <c r="EZ45" s="97">
        <f>+EZ46</f>
        <v>0</v>
      </c>
      <c r="FA45" s="97">
        <f>+FA46</f>
        <v>0</v>
      </c>
      <c r="FB45" s="97">
        <f>+FB46</f>
        <v>0</v>
      </c>
      <c r="FC45" s="97">
        <f>+FC46</f>
        <v>-0.10000000000002274</v>
      </c>
      <c r="FD45" s="97">
        <f t="shared" si="159"/>
        <v>432</v>
      </c>
      <c r="FE45" s="97">
        <f t="shared" si="159"/>
        <v>1960.5999999999995</v>
      </c>
      <c r="FF45" s="97">
        <f t="shared" ref="FF45:GE45" si="160">+FF46</f>
        <v>12204.899999999994</v>
      </c>
      <c r="FG45" s="97">
        <f t="shared" si="160"/>
        <v>18339.800000000003</v>
      </c>
      <c r="FH45" s="97">
        <f t="shared" si="160"/>
        <v>2829.7000000000116</v>
      </c>
      <c r="FI45" s="97">
        <f t="shared" si="160"/>
        <v>0.1000000000003638</v>
      </c>
      <c r="FJ45" s="97">
        <f t="shared" si="160"/>
        <v>0</v>
      </c>
      <c r="FK45" s="97">
        <f t="shared" si="160"/>
        <v>0</v>
      </c>
      <c r="FL45" s="97">
        <f t="shared" si="160"/>
        <v>0</v>
      </c>
      <c r="FM45" s="97">
        <f t="shared" si="160"/>
        <v>0</v>
      </c>
      <c r="FN45" s="97">
        <f t="shared" si="160"/>
        <v>0</v>
      </c>
      <c r="FO45" s="97">
        <f t="shared" si="160"/>
        <v>3318.0000000000036</v>
      </c>
      <c r="FP45" s="97">
        <f t="shared" si="160"/>
        <v>15688.299999999997</v>
      </c>
      <c r="FQ45" s="97">
        <f t="shared" si="160"/>
        <v>169.4</v>
      </c>
      <c r="FR45" s="97">
        <f t="shared" si="160"/>
        <v>3276.1</v>
      </c>
      <c r="FS45" s="97">
        <f t="shared" si="160"/>
        <v>582.60000000000036</v>
      </c>
      <c r="FT45" s="97">
        <f t="shared" si="160"/>
        <v>0</v>
      </c>
      <c r="FU45" s="97">
        <f t="shared" si="160"/>
        <v>0</v>
      </c>
      <c r="FV45" s="97">
        <f t="shared" si="160"/>
        <v>0</v>
      </c>
      <c r="FW45" s="97">
        <f t="shared" si="160"/>
        <v>0</v>
      </c>
      <c r="FX45" s="97">
        <f t="shared" si="160"/>
        <v>0</v>
      </c>
      <c r="FY45" s="97">
        <f t="shared" si="160"/>
        <v>0</v>
      </c>
      <c r="FZ45" s="97">
        <f t="shared" si="160"/>
        <v>0</v>
      </c>
      <c r="GA45" s="97">
        <f t="shared" si="160"/>
        <v>0</v>
      </c>
      <c r="GB45" s="97">
        <f t="shared" si="160"/>
        <v>0</v>
      </c>
      <c r="GC45" s="97">
        <f t="shared" si="160"/>
        <v>0</v>
      </c>
      <c r="GD45" s="97">
        <f t="shared" si="160"/>
        <v>3874.5000000000009</v>
      </c>
      <c r="GE45" s="97">
        <f t="shared" si="160"/>
        <v>0</v>
      </c>
      <c r="GF45" s="99"/>
      <c r="GG45" s="99"/>
      <c r="GH45" s="97">
        <f t="shared" ref="GH45:GR45" si="161">+GH46</f>
        <v>0</v>
      </c>
      <c r="GI45" s="97">
        <f t="shared" si="161"/>
        <v>0</v>
      </c>
      <c r="GJ45" s="97">
        <f t="shared" si="161"/>
        <v>245</v>
      </c>
      <c r="GK45" s="97">
        <f t="shared" si="161"/>
        <v>0</v>
      </c>
      <c r="GL45" s="97">
        <f t="shared" si="161"/>
        <v>0</v>
      </c>
      <c r="GM45" s="97">
        <f t="shared" si="161"/>
        <v>0</v>
      </c>
      <c r="GN45" s="97">
        <f t="shared" si="161"/>
        <v>0</v>
      </c>
      <c r="GO45" s="97">
        <f t="shared" si="161"/>
        <v>0</v>
      </c>
      <c r="GP45" s="97">
        <f t="shared" si="161"/>
        <v>0</v>
      </c>
      <c r="GQ45" s="97">
        <f t="shared" si="161"/>
        <v>0</v>
      </c>
      <c r="GR45" s="97">
        <f t="shared" si="161"/>
        <v>0</v>
      </c>
      <c r="GS45" s="97">
        <f t="shared" si="159"/>
        <v>0</v>
      </c>
      <c r="GT45" s="97">
        <f t="shared" ref="GT45:HB45" si="162">+GT46</f>
        <v>0</v>
      </c>
      <c r="GU45" s="97">
        <f t="shared" si="162"/>
        <v>9115.5999999999985</v>
      </c>
      <c r="GV45" s="97">
        <f t="shared" si="162"/>
        <v>0</v>
      </c>
      <c r="GW45" s="97">
        <f t="shared" si="162"/>
        <v>0</v>
      </c>
      <c r="GX45" s="97">
        <f t="shared" si="162"/>
        <v>0</v>
      </c>
      <c r="GY45" s="97">
        <f t="shared" si="162"/>
        <v>0</v>
      </c>
      <c r="GZ45" s="97">
        <f t="shared" si="162"/>
        <v>0</v>
      </c>
      <c r="HA45" s="97">
        <f t="shared" si="162"/>
        <v>7208.7999999999956</v>
      </c>
      <c r="HB45" s="97">
        <f t="shared" si="162"/>
        <v>1768.7000000000044</v>
      </c>
      <c r="HC45" s="99"/>
      <c r="HD45" s="97">
        <f>+HD46</f>
        <v>0</v>
      </c>
      <c r="HE45" s="97">
        <f>+HE46</f>
        <v>7933.5</v>
      </c>
      <c r="HF45" s="97">
        <f>+HF46</f>
        <v>0</v>
      </c>
      <c r="HG45" s="97">
        <f>+HG46</f>
        <v>0</v>
      </c>
      <c r="HH45" s="97">
        <f t="shared" si="159"/>
        <v>16054.800000000007</v>
      </c>
      <c r="HI45" s="97">
        <f t="shared" ref="HI45:HN45" si="163">+HI46</f>
        <v>8425.5000000000018</v>
      </c>
      <c r="HJ45" s="97">
        <f t="shared" si="163"/>
        <v>0</v>
      </c>
      <c r="HK45" s="97">
        <f t="shared" si="163"/>
        <v>0</v>
      </c>
      <c r="HL45" s="97">
        <f t="shared" si="163"/>
        <v>0</v>
      </c>
      <c r="HM45" s="97">
        <f t="shared" si="163"/>
        <v>0</v>
      </c>
      <c r="HN45" s="97">
        <f t="shared" si="163"/>
        <v>0</v>
      </c>
      <c r="HO45" s="99"/>
      <c r="HP45" s="97">
        <f t="shared" ref="HP45:IU45" si="164">+HP46</f>
        <v>0</v>
      </c>
      <c r="HQ45" s="97">
        <f t="shared" si="164"/>
        <v>0</v>
      </c>
      <c r="HR45" s="97">
        <f t="shared" si="164"/>
        <v>0</v>
      </c>
      <c r="HS45" s="97">
        <f t="shared" si="164"/>
        <v>0</v>
      </c>
      <c r="HT45" s="97">
        <f t="shared" si="164"/>
        <v>0</v>
      </c>
      <c r="HU45" s="97">
        <f t="shared" si="164"/>
        <v>0</v>
      </c>
      <c r="HV45" s="97">
        <f t="shared" si="164"/>
        <v>0</v>
      </c>
      <c r="HW45" s="97">
        <f t="shared" si="164"/>
        <v>1458.5</v>
      </c>
      <c r="HX45" s="97">
        <f t="shared" si="164"/>
        <v>0</v>
      </c>
      <c r="HY45" s="97">
        <f t="shared" si="164"/>
        <v>0</v>
      </c>
      <c r="HZ45" s="97">
        <f t="shared" si="164"/>
        <v>0</v>
      </c>
      <c r="IA45" s="97">
        <f t="shared" si="164"/>
        <v>345.60000000000218</v>
      </c>
      <c r="IB45" s="97">
        <f t="shared" si="164"/>
        <v>205.79999999999973</v>
      </c>
      <c r="IC45" s="97">
        <f t="shared" si="164"/>
        <v>7156.1000000000022</v>
      </c>
      <c r="ID45" s="97">
        <f t="shared" si="164"/>
        <v>31397.5</v>
      </c>
      <c r="IE45" s="97">
        <f t="shared" si="164"/>
        <v>0</v>
      </c>
      <c r="IF45" s="97">
        <f t="shared" si="164"/>
        <v>0</v>
      </c>
      <c r="IG45" s="97">
        <f t="shared" si="164"/>
        <v>1235.7</v>
      </c>
      <c r="IH45" s="97">
        <f t="shared" si="164"/>
        <v>0</v>
      </c>
      <c r="II45" s="97">
        <f t="shared" si="164"/>
        <v>1938.6</v>
      </c>
      <c r="IJ45" s="97">
        <f t="shared" si="164"/>
        <v>0</v>
      </c>
      <c r="IK45" s="97">
        <f t="shared" si="164"/>
        <v>11347.7</v>
      </c>
      <c r="IL45" s="97">
        <f t="shared" si="164"/>
        <v>324.00000000000182</v>
      </c>
      <c r="IM45" s="97">
        <f t="shared" si="164"/>
        <v>13973.300000000001</v>
      </c>
      <c r="IN45" s="97">
        <f t="shared" si="164"/>
        <v>0</v>
      </c>
      <c r="IO45" s="97">
        <f t="shared" si="164"/>
        <v>390.5</v>
      </c>
      <c r="IP45" s="97">
        <f t="shared" si="164"/>
        <v>0</v>
      </c>
      <c r="IQ45" s="97">
        <f t="shared" si="164"/>
        <v>0</v>
      </c>
      <c r="IR45" s="97">
        <f t="shared" si="164"/>
        <v>0</v>
      </c>
      <c r="IS45" s="97">
        <f t="shared" si="164"/>
        <v>0</v>
      </c>
      <c r="IT45" s="97">
        <f t="shared" si="164"/>
        <v>1345</v>
      </c>
      <c r="IU45" s="97">
        <f t="shared" si="164"/>
        <v>7281.6</v>
      </c>
      <c r="IV45" s="97">
        <f t="shared" ref="IV45:KA45" si="165">+IV46</f>
        <v>1080</v>
      </c>
      <c r="IW45" s="97">
        <f t="shared" si="165"/>
        <v>0.1</v>
      </c>
      <c r="IX45" s="97">
        <f t="shared" si="165"/>
        <v>790.29999999999927</v>
      </c>
      <c r="IY45" s="97">
        <f t="shared" si="165"/>
        <v>776.30000000004657</v>
      </c>
      <c r="IZ45" s="97">
        <f t="shared" si="165"/>
        <v>40.000000000000014</v>
      </c>
      <c r="JA45" s="97">
        <f t="shared" si="165"/>
        <v>0</v>
      </c>
      <c r="JB45" s="97">
        <f t="shared" si="165"/>
        <v>4346.7000000000007</v>
      </c>
      <c r="JC45" s="97">
        <f t="shared" si="165"/>
        <v>0</v>
      </c>
      <c r="JD45" s="97">
        <f t="shared" si="165"/>
        <v>0</v>
      </c>
      <c r="JE45" s="97">
        <f t="shared" si="165"/>
        <v>0</v>
      </c>
      <c r="JF45" s="97">
        <f t="shared" si="165"/>
        <v>0</v>
      </c>
      <c r="JG45" s="97">
        <f t="shared" si="165"/>
        <v>0</v>
      </c>
      <c r="JH45" s="97">
        <f t="shared" si="165"/>
        <v>0</v>
      </c>
      <c r="JI45" s="97">
        <f t="shared" si="165"/>
        <v>0</v>
      </c>
      <c r="JJ45" s="97">
        <f t="shared" si="165"/>
        <v>0</v>
      </c>
      <c r="JK45" s="97">
        <f t="shared" si="165"/>
        <v>0</v>
      </c>
      <c r="JL45" s="97">
        <f t="shared" si="165"/>
        <v>0</v>
      </c>
      <c r="JM45" s="97">
        <f t="shared" si="165"/>
        <v>0</v>
      </c>
      <c r="JN45" s="97">
        <f t="shared" si="165"/>
        <v>0</v>
      </c>
      <c r="JO45" s="97">
        <f t="shared" si="165"/>
        <v>0</v>
      </c>
      <c r="JP45" s="97">
        <f t="shared" si="165"/>
        <v>0</v>
      </c>
      <c r="JQ45" s="97">
        <f t="shared" si="165"/>
        <v>0</v>
      </c>
      <c r="JR45" s="97">
        <f t="shared" si="165"/>
        <v>0</v>
      </c>
      <c r="JS45" s="97">
        <f t="shared" si="165"/>
        <v>0</v>
      </c>
      <c r="JT45" s="97">
        <f t="shared" si="165"/>
        <v>0</v>
      </c>
      <c r="JU45" s="97">
        <f t="shared" si="165"/>
        <v>0</v>
      </c>
      <c r="JV45" s="97">
        <f t="shared" si="165"/>
        <v>0</v>
      </c>
      <c r="JW45" s="97">
        <f t="shared" si="165"/>
        <v>0</v>
      </c>
      <c r="JX45" s="97">
        <f t="shared" si="165"/>
        <v>0</v>
      </c>
      <c r="JY45" s="97">
        <f t="shared" si="165"/>
        <v>0</v>
      </c>
      <c r="JZ45" s="97">
        <f t="shared" si="165"/>
        <v>0</v>
      </c>
      <c r="KA45" s="97">
        <f t="shared" si="165"/>
        <v>3349.8000000000006</v>
      </c>
      <c r="KB45" s="97">
        <f t="shared" ref="KB45:KE45" si="166">+KB46</f>
        <v>0</v>
      </c>
      <c r="KC45" s="97">
        <f t="shared" si="166"/>
        <v>0</v>
      </c>
      <c r="KD45" s="97">
        <f t="shared" si="166"/>
        <v>0</v>
      </c>
      <c r="KE45" s="97">
        <f t="shared" si="166"/>
        <v>0</v>
      </c>
      <c r="KF45" s="99"/>
      <c r="KG45" s="97">
        <f t="shared" ref="KG45:OT45" si="167">+KG46</f>
        <v>0</v>
      </c>
      <c r="KH45" s="97">
        <f t="shared" si="167"/>
        <v>4250</v>
      </c>
      <c r="KI45" s="97">
        <f t="shared" si="167"/>
        <v>281.90000000000009</v>
      </c>
      <c r="KJ45" s="97">
        <f t="shared" si="167"/>
        <v>219182.79999999882</v>
      </c>
      <c r="KK45" s="97">
        <f t="shared" si="167"/>
        <v>0</v>
      </c>
      <c r="KL45" s="97">
        <f t="shared" si="167"/>
        <v>0</v>
      </c>
      <c r="KM45" s="97">
        <f t="shared" si="167"/>
        <v>0</v>
      </c>
      <c r="KN45" s="97">
        <f t="shared" si="167"/>
        <v>0</v>
      </c>
      <c r="KO45" s="97">
        <f t="shared" si="167"/>
        <v>0</v>
      </c>
      <c r="KP45" s="97">
        <f t="shared" si="167"/>
        <v>0</v>
      </c>
      <c r="KQ45" s="97">
        <f t="shared" si="167"/>
        <v>0</v>
      </c>
      <c r="KR45" s="97">
        <f t="shared" si="167"/>
        <v>87778.299999999959</v>
      </c>
      <c r="KS45" s="97">
        <f t="shared" si="167"/>
        <v>6.0999999999912689</v>
      </c>
      <c r="KT45" s="97">
        <f t="shared" si="167"/>
        <v>0</v>
      </c>
      <c r="KU45" s="97">
        <f t="shared" si="167"/>
        <v>1309.1999999999534</v>
      </c>
      <c r="KV45" s="97">
        <f t="shared" si="167"/>
        <v>2798.7000000000044</v>
      </c>
      <c r="KW45" s="97">
        <f t="shared" si="167"/>
        <v>796.5</v>
      </c>
      <c r="KX45" s="97">
        <f t="shared" si="167"/>
        <v>172362.3</v>
      </c>
      <c r="KY45" s="97">
        <f t="shared" si="167"/>
        <v>7.9000000000014552</v>
      </c>
      <c r="KZ45" s="97">
        <f t="shared" si="167"/>
        <v>3358.2000000000003</v>
      </c>
      <c r="LA45" s="97">
        <f t="shared" si="167"/>
        <v>0</v>
      </c>
      <c r="LB45" s="97">
        <f t="shared" si="167"/>
        <v>0</v>
      </c>
      <c r="LC45" s="97">
        <f>+LC46</f>
        <v>0</v>
      </c>
      <c r="LD45" s="97">
        <f>+LD46</f>
        <v>0</v>
      </c>
      <c r="LE45" s="97">
        <f>+LE46</f>
        <v>0</v>
      </c>
      <c r="LF45" s="99"/>
      <c r="LG45" s="97">
        <f>+LG46</f>
        <v>0</v>
      </c>
      <c r="LH45" s="97">
        <f>+LH46</f>
        <v>0</v>
      </c>
      <c r="LI45" s="97">
        <f>+LI46</f>
        <v>0</v>
      </c>
      <c r="LJ45" s="97">
        <f>+LJ46</f>
        <v>0</v>
      </c>
      <c r="LK45" s="97">
        <f t="shared" ref="LK45:LQ45" si="168">+LK46</f>
        <v>0</v>
      </c>
      <c r="LL45" s="97">
        <f t="shared" si="168"/>
        <v>0</v>
      </c>
      <c r="LM45" s="97">
        <f>+LM46</f>
        <v>0</v>
      </c>
      <c r="LN45" s="97">
        <f>+LN46</f>
        <v>0</v>
      </c>
      <c r="LO45" s="97">
        <f t="shared" si="168"/>
        <v>0</v>
      </c>
      <c r="LP45" s="97">
        <f t="shared" si="168"/>
        <v>0</v>
      </c>
      <c r="LQ45" s="97">
        <f t="shared" si="168"/>
        <v>0</v>
      </c>
      <c r="LR45" s="99"/>
      <c r="LS45" s="99"/>
      <c r="LT45" s="97">
        <f t="shared" ref="LT45:MY45" si="169">+LT46</f>
        <v>0</v>
      </c>
      <c r="LU45" s="97">
        <f t="shared" si="169"/>
        <v>0</v>
      </c>
      <c r="LV45" s="97">
        <f t="shared" si="169"/>
        <v>0</v>
      </c>
      <c r="LW45" s="97">
        <f t="shared" si="169"/>
        <v>0</v>
      </c>
      <c r="LX45" s="97">
        <f t="shared" si="169"/>
        <v>0</v>
      </c>
      <c r="LY45" s="97">
        <f t="shared" si="169"/>
        <v>0</v>
      </c>
      <c r="LZ45" s="97">
        <f t="shared" si="169"/>
        <v>0</v>
      </c>
      <c r="MA45" s="97">
        <f t="shared" si="169"/>
        <v>10.000000000000909</v>
      </c>
      <c r="MB45" s="97">
        <f t="shared" si="169"/>
        <v>50.799999999999727</v>
      </c>
      <c r="MC45" s="97">
        <f t="shared" si="169"/>
        <v>0</v>
      </c>
      <c r="MD45" s="97">
        <f t="shared" si="169"/>
        <v>1175.0000000000005</v>
      </c>
      <c r="ME45" s="97">
        <f t="shared" si="169"/>
        <v>0</v>
      </c>
      <c r="MF45" s="97">
        <f t="shared" si="169"/>
        <v>324</v>
      </c>
      <c r="MG45" s="97">
        <f t="shared" si="169"/>
        <v>0</v>
      </c>
      <c r="MH45" s="97">
        <f t="shared" si="169"/>
        <v>-0.1000000000003638</v>
      </c>
      <c r="MI45" s="97">
        <f t="shared" si="169"/>
        <v>2524</v>
      </c>
      <c r="MJ45" s="97">
        <f t="shared" si="169"/>
        <v>0</v>
      </c>
      <c r="MK45" s="97">
        <f t="shared" si="169"/>
        <v>0</v>
      </c>
      <c r="ML45" s="97">
        <f t="shared" si="169"/>
        <v>0</v>
      </c>
      <c r="MM45" s="97">
        <f t="shared" si="169"/>
        <v>6124.4</v>
      </c>
      <c r="MN45" s="97">
        <f t="shared" si="169"/>
        <v>0</v>
      </c>
      <c r="MO45" s="97">
        <f t="shared" si="169"/>
        <v>0</v>
      </c>
      <c r="MP45" s="97">
        <f t="shared" si="169"/>
        <v>0</v>
      </c>
      <c r="MQ45" s="97">
        <f t="shared" si="169"/>
        <v>0</v>
      </c>
      <c r="MR45" s="97">
        <f t="shared" si="169"/>
        <v>0</v>
      </c>
      <c r="MS45" s="97">
        <f t="shared" si="169"/>
        <v>3418.5</v>
      </c>
      <c r="MT45" s="97">
        <f t="shared" si="169"/>
        <v>0</v>
      </c>
      <c r="MU45" s="97">
        <f t="shared" si="169"/>
        <v>0</v>
      </c>
      <c r="MV45" s="97">
        <f t="shared" si="169"/>
        <v>324</v>
      </c>
      <c r="MW45" s="97">
        <f t="shared" si="169"/>
        <v>148.19999999999982</v>
      </c>
      <c r="MX45" s="97">
        <f t="shared" si="169"/>
        <v>0</v>
      </c>
      <c r="MY45" s="97">
        <f t="shared" si="169"/>
        <v>-9.9999999999454303E-2</v>
      </c>
      <c r="MZ45" s="97">
        <f t="shared" ref="MZ45:OA45" si="170">+MZ46</f>
        <v>0</v>
      </c>
      <c r="NA45" s="97">
        <f t="shared" si="170"/>
        <v>18045.900000000001</v>
      </c>
      <c r="NB45" s="97">
        <f t="shared" si="170"/>
        <v>0</v>
      </c>
      <c r="NC45" s="97">
        <f t="shared" si="170"/>
        <v>0</v>
      </c>
      <c r="ND45" s="97">
        <f t="shared" si="170"/>
        <v>0</v>
      </c>
      <c r="NE45" s="97">
        <f t="shared" si="170"/>
        <v>0</v>
      </c>
      <c r="NF45" s="97">
        <f t="shared" si="170"/>
        <v>0</v>
      </c>
      <c r="NG45" s="97">
        <f t="shared" si="170"/>
        <v>0</v>
      </c>
      <c r="NH45" s="97">
        <f t="shared" si="170"/>
        <v>341.90000000000146</v>
      </c>
      <c r="NI45" s="97">
        <f t="shared" si="170"/>
        <v>2233.7000000000025</v>
      </c>
      <c r="NJ45" s="97">
        <f t="shared" si="170"/>
        <v>750</v>
      </c>
      <c r="NK45" s="97">
        <f t="shared" si="170"/>
        <v>0</v>
      </c>
      <c r="NL45" s="97">
        <f t="shared" si="170"/>
        <v>2350.5999999999985</v>
      </c>
      <c r="NM45" s="97">
        <f t="shared" si="170"/>
        <v>15513.7</v>
      </c>
      <c r="NN45" s="97">
        <f t="shared" si="170"/>
        <v>0</v>
      </c>
      <c r="NO45" s="97">
        <f t="shared" si="170"/>
        <v>0</v>
      </c>
      <c r="NP45" s="97">
        <f t="shared" si="170"/>
        <v>527.29999999999995</v>
      </c>
      <c r="NQ45" s="97">
        <f t="shared" si="170"/>
        <v>0</v>
      </c>
      <c r="NR45" s="97">
        <f t="shared" si="170"/>
        <v>0</v>
      </c>
      <c r="NS45" s="97">
        <f t="shared" si="170"/>
        <v>0</v>
      </c>
      <c r="NT45" s="97">
        <f t="shared" si="170"/>
        <v>0</v>
      </c>
      <c r="NU45" s="97">
        <f t="shared" si="170"/>
        <v>0</v>
      </c>
      <c r="NV45" s="97">
        <f t="shared" si="170"/>
        <v>207.80000000000291</v>
      </c>
      <c r="NW45" s="97">
        <f t="shared" si="170"/>
        <v>0</v>
      </c>
      <c r="NX45" s="97">
        <f t="shared" si="170"/>
        <v>1142.6000000000004</v>
      </c>
      <c r="NY45" s="97">
        <f t="shared" si="170"/>
        <v>1261.5999999999995</v>
      </c>
      <c r="NZ45" s="97">
        <f t="shared" si="170"/>
        <v>240</v>
      </c>
      <c r="OA45" s="97">
        <f t="shared" si="170"/>
        <v>0</v>
      </c>
      <c r="OB45" s="97">
        <f t="shared" ref="OB45" si="171">+OB46</f>
        <v>0</v>
      </c>
      <c r="OC45" s="97">
        <f>+OC46</f>
        <v>0</v>
      </c>
      <c r="OD45" s="97">
        <f>+OD46</f>
        <v>0</v>
      </c>
      <c r="OE45" s="97">
        <f>+OE46</f>
        <v>0</v>
      </c>
      <c r="OF45" s="97">
        <f>+OF46</f>
        <v>1000</v>
      </c>
      <c r="OG45" s="97">
        <f>+OG46</f>
        <v>0.10000000000218279</v>
      </c>
      <c r="OH45" s="97">
        <f t="shared" si="167"/>
        <v>2900.1000000000004</v>
      </c>
      <c r="OI45" s="97">
        <f t="shared" si="167"/>
        <v>33450</v>
      </c>
      <c r="OJ45" s="97">
        <f>+OJ46</f>
        <v>6.3664629124104977E-12</v>
      </c>
      <c r="OK45" s="97">
        <f>+OK46</f>
        <v>0</v>
      </c>
      <c r="OL45" s="97">
        <f t="shared" si="167"/>
        <v>300</v>
      </c>
      <c r="OM45" s="97">
        <f t="shared" si="167"/>
        <v>16467.400000000001</v>
      </c>
      <c r="ON45" s="97">
        <f>+ON46</f>
        <v>300</v>
      </c>
      <c r="OO45" s="97">
        <f t="shared" si="167"/>
        <v>778.90000000000009</v>
      </c>
      <c r="OP45" s="97">
        <f t="shared" si="167"/>
        <v>8300.9000000000015</v>
      </c>
      <c r="OQ45" s="97">
        <f t="shared" si="167"/>
        <v>900.89999999999964</v>
      </c>
      <c r="OR45" s="97">
        <f t="shared" si="167"/>
        <v>237.59999999999945</v>
      </c>
      <c r="OS45" s="97">
        <f t="shared" si="167"/>
        <v>36967.100000000035</v>
      </c>
      <c r="OT45" s="97">
        <f t="shared" si="167"/>
        <v>1843.5</v>
      </c>
      <c r="OU45" s="97">
        <f t="shared" si="159"/>
        <v>1186.7999999999993</v>
      </c>
      <c r="OV45" s="97">
        <f t="shared" si="159"/>
        <v>0</v>
      </c>
      <c r="OW45" s="97">
        <f t="shared" ref="OW45:PH45" si="172">+OW46</f>
        <v>0.30000000000000071</v>
      </c>
      <c r="OX45" s="97">
        <f t="shared" si="172"/>
        <v>9.9999999999909051E-2</v>
      </c>
      <c r="OY45" s="97">
        <f t="shared" si="172"/>
        <v>8000</v>
      </c>
      <c r="OZ45" s="97">
        <f t="shared" si="172"/>
        <v>57135.399999999441</v>
      </c>
      <c r="PA45" s="97">
        <f t="shared" si="172"/>
        <v>0</v>
      </c>
      <c r="PB45" s="97">
        <f>+PB46</f>
        <v>4637.4999999999854</v>
      </c>
      <c r="PC45" s="97">
        <f t="shared" si="172"/>
        <v>0</v>
      </c>
      <c r="PD45" s="97">
        <f>+PD46</f>
        <v>0</v>
      </c>
      <c r="PE45" s="97">
        <f t="shared" si="172"/>
        <v>1000</v>
      </c>
      <c r="PF45" s="97">
        <f t="shared" si="172"/>
        <v>0</v>
      </c>
      <c r="PG45" s="97">
        <f t="shared" si="172"/>
        <v>25572.900000000081</v>
      </c>
      <c r="PH45" s="97">
        <f t="shared" si="172"/>
        <v>0</v>
      </c>
      <c r="PI45" s="97">
        <f>+PI46</f>
        <v>0</v>
      </c>
      <c r="PJ45" s="97">
        <f t="shared" ref="PJ45:QC45" si="173">+PJ46</f>
        <v>2020.7000000000044</v>
      </c>
      <c r="PK45" s="97">
        <f t="shared" si="173"/>
        <v>0</v>
      </c>
      <c r="PL45" s="97">
        <f t="shared" si="173"/>
        <v>0</v>
      </c>
      <c r="PM45" s="97">
        <f t="shared" si="173"/>
        <v>0</v>
      </c>
      <c r="PN45" s="97">
        <f t="shared" ref="PN45:PS45" si="174">+PN46</f>
        <v>566.39999999999964</v>
      </c>
      <c r="PO45" s="97">
        <f t="shared" si="174"/>
        <v>0</v>
      </c>
      <c r="PP45" s="97">
        <f t="shared" si="174"/>
        <v>7.5</v>
      </c>
      <c r="PQ45" s="97">
        <f t="shared" si="174"/>
        <v>1008</v>
      </c>
      <c r="PR45" s="97">
        <f t="shared" si="174"/>
        <v>0</v>
      </c>
      <c r="PS45" s="97">
        <f t="shared" si="174"/>
        <v>0</v>
      </c>
      <c r="PT45" s="97">
        <f t="shared" si="173"/>
        <v>21.299999999999955</v>
      </c>
      <c r="PU45" s="97">
        <f>+PU46</f>
        <v>0</v>
      </c>
      <c r="PV45" s="97">
        <f t="shared" si="173"/>
        <v>13000</v>
      </c>
      <c r="PW45" s="97">
        <f>+PW46</f>
        <v>6431.9000000000233</v>
      </c>
      <c r="PX45" s="97">
        <f>+PX46</f>
        <v>0</v>
      </c>
      <c r="PY45" s="97">
        <f>+PY46</f>
        <v>300</v>
      </c>
      <c r="PZ45" s="97">
        <f>+PZ46</f>
        <v>0</v>
      </c>
      <c r="QA45" s="97">
        <f>+QA46</f>
        <v>0</v>
      </c>
      <c r="QB45" s="97">
        <f t="shared" si="173"/>
        <v>54.400000000000091</v>
      </c>
      <c r="QC45" s="97">
        <f t="shared" si="173"/>
        <v>2508.2000000000007</v>
      </c>
      <c r="QD45" s="97">
        <f>+QD46</f>
        <v>22514.3</v>
      </c>
      <c r="QE45" s="97">
        <f t="shared" ref="QE45:QJ45" si="175">+QE46</f>
        <v>4390.3999999999978</v>
      </c>
      <c r="QF45" s="97">
        <f t="shared" si="175"/>
        <v>0</v>
      </c>
      <c r="QG45" s="97">
        <f t="shared" si="175"/>
        <v>0</v>
      </c>
      <c r="QH45" s="97">
        <f t="shared" si="175"/>
        <v>1000.0000000000001</v>
      </c>
      <c r="QI45" s="97">
        <f t="shared" si="175"/>
        <v>23266.400000000023</v>
      </c>
      <c r="QJ45" s="97">
        <f t="shared" si="175"/>
        <v>9536.6999999999971</v>
      </c>
      <c r="QK45" s="97">
        <f>+QK46</f>
        <v>0</v>
      </c>
      <c r="QL45" s="97">
        <f t="shared" ref="QL45:QM45" si="176">+QL46</f>
        <v>1909.5</v>
      </c>
      <c r="QM45" s="97">
        <f t="shared" si="176"/>
        <v>0</v>
      </c>
      <c r="QN45" s="97">
        <f>+QN46</f>
        <v>0</v>
      </c>
      <c r="QO45" s="97">
        <f>+QO46</f>
        <v>0</v>
      </c>
      <c r="QP45" s="97">
        <f t="shared" ref="QP45" si="177">+QP46</f>
        <v>0</v>
      </c>
      <c r="QQ45" s="97">
        <f>+QQ46</f>
        <v>0</v>
      </c>
      <c r="QR45" s="97">
        <f>+QR46</f>
        <v>0</v>
      </c>
      <c r="QS45" s="97">
        <f t="shared" ref="QS45:RM45" si="178">+QS46</f>
        <v>0</v>
      </c>
      <c r="QT45" s="97">
        <f>+QT46</f>
        <v>0</v>
      </c>
      <c r="QU45" s="97">
        <f>+QU46</f>
        <v>0</v>
      </c>
      <c r="QV45" s="97">
        <f t="shared" si="178"/>
        <v>0</v>
      </c>
      <c r="QW45" s="97">
        <f t="shared" si="178"/>
        <v>0</v>
      </c>
      <c r="QX45" s="97">
        <f t="shared" si="178"/>
        <v>0</v>
      </c>
      <c r="QY45" s="97">
        <f t="shared" si="178"/>
        <v>0</v>
      </c>
      <c r="QZ45" s="97">
        <f t="shared" si="178"/>
        <v>0</v>
      </c>
      <c r="RA45" s="97">
        <f t="shared" si="178"/>
        <v>0</v>
      </c>
      <c r="RB45" s="97">
        <f t="shared" si="178"/>
        <v>0</v>
      </c>
      <c r="RC45" s="97">
        <f t="shared" si="178"/>
        <v>0</v>
      </c>
      <c r="RD45" s="97">
        <f t="shared" si="178"/>
        <v>0</v>
      </c>
      <c r="RE45" s="97">
        <f>+RE46</f>
        <v>0</v>
      </c>
      <c r="RF45" s="97">
        <f t="shared" si="178"/>
        <v>0</v>
      </c>
      <c r="RG45" s="97">
        <f t="shared" si="178"/>
        <v>0</v>
      </c>
      <c r="RH45" s="97">
        <f t="shared" si="178"/>
        <v>0</v>
      </c>
      <c r="RI45" s="97">
        <f t="shared" si="178"/>
        <v>0</v>
      </c>
      <c r="RJ45" s="97">
        <f>+RJ46</f>
        <v>0</v>
      </c>
      <c r="RK45" s="97">
        <f t="shared" si="178"/>
        <v>0</v>
      </c>
      <c r="RL45" s="97">
        <f t="shared" si="178"/>
        <v>0</v>
      </c>
      <c r="RM45" s="97">
        <f t="shared" si="178"/>
        <v>0</v>
      </c>
      <c r="RN45" s="97">
        <f>+RN46</f>
        <v>437.3</v>
      </c>
    </row>
    <row r="46" spans="1:482" s="60" customFormat="1" ht="11.25" x14ac:dyDescent="0.2">
      <c r="A46" s="124" t="s">
        <v>785</v>
      </c>
      <c r="B46" s="176" t="s">
        <v>786</v>
      </c>
      <c r="C46" s="176"/>
      <c r="D46" s="116">
        <f>SUM(E46:RR46)</f>
        <v>14137971.990000028</v>
      </c>
      <c r="E46" s="114">
        <v>0</v>
      </c>
      <c r="F46" s="114">
        <v>1534</v>
      </c>
      <c r="G46" s="114">
        <v>1052.0999999999999</v>
      </c>
      <c r="H46" s="114">
        <v>102822.3</v>
      </c>
      <c r="I46" s="114">
        <v>7426.4000000000096</v>
      </c>
      <c r="J46" s="114">
        <v>7931871.4000000004</v>
      </c>
      <c r="K46" s="114">
        <v>16129.4</v>
      </c>
      <c r="L46" s="114">
        <v>1190</v>
      </c>
      <c r="M46" s="114">
        <v>1263.2</v>
      </c>
      <c r="N46" s="114">
        <v>0</v>
      </c>
      <c r="O46" s="114"/>
      <c r="P46" s="114">
        <v>24763.9</v>
      </c>
      <c r="Q46" s="114">
        <v>324</v>
      </c>
      <c r="R46" s="114">
        <f>161031.3+1000</f>
        <v>162031.29999999999</v>
      </c>
      <c r="S46" s="114">
        <v>5653.9</v>
      </c>
      <c r="T46" s="114">
        <v>11757.1</v>
      </c>
      <c r="U46" s="114">
        <v>0</v>
      </c>
      <c r="V46" s="114">
        <v>110.099999999999</v>
      </c>
      <c r="W46" s="114">
        <v>0</v>
      </c>
      <c r="X46" s="114">
        <v>9120.8999999999705</v>
      </c>
      <c r="Y46" s="114">
        <v>-9.9999999976716894E-2</v>
      </c>
      <c r="Z46" s="114">
        <v>1183.7</v>
      </c>
      <c r="AA46" s="114">
        <v>0</v>
      </c>
      <c r="AB46" s="114">
        <v>777.59999999997694</v>
      </c>
      <c r="AC46" s="114">
        <v>310304.2</v>
      </c>
      <c r="AD46" s="114">
        <v>2889.7999999999902</v>
      </c>
      <c r="AE46" s="114">
        <v>2079513.3000000301</v>
      </c>
      <c r="AF46" s="114">
        <v>0</v>
      </c>
      <c r="AG46" s="114">
        <v>45858.1</v>
      </c>
      <c r="AH46" s="114"/>
      <c r="AI46" s="114">
        <v>33660.6</v>
      </c>
      <c r="AJ46" s="114">
        <v>82016.800000000003</v>
      </c>
      <c r="AK46" s="114">
        <v>542723.09</v>
      </c>
      <c r="AL46" s="114">
        <v>1000</v>
      </c>
      <c r="AM46" s="114">
        <v>9500</v>
      </c>
      <c r="AN46" s="114">
        <v>3421.8</v>
      </c>
      <c r="AO46" s="114">
        <v>0</v>
      </c>
      <c r="AP46" s="114">
        <v>32998.3999999999</v>
      </c>
      <c r="AQ46" s="114">
        <v>54253.399999999303</v>
      </c>
      <c r="AR46" s="114">
        <v>1426.6000000000099</v>
      </c>
      <c r="AS46" s="114">
        <v>999.99999999999295</v>
      </c>
      <c r="AT46" s="114"/>
      <c r="AU46" s="114">
        <v>889.1</v>
      </c>
      <c r="AV46" s="114"/>
      <c r="AW46" s="114"/>
      <c r="AX46" s="114"/>
      <c r="AY46" s="114"/>
      <c r="AZ46" s="114">
        <v>1536</v>
      </c>
      <c r="BA46" s="114">
        <v>16211</v>
      </c>
      <c r="BB46" s="114">
        <v>90657.8</v>
      </c>
      <c r="BC46" s="114">
        <f>310669.1+500</f>
        <v>311169.09999999998</v>
      </c>
      <c r="BD46" s="114">
        <v>40000.400000000103</v>
      </c>
      <c r="BE46" s="114">
        <v>205911.7</v>
      </c>
      <c r="BF46" s="114">
        <v>110.6</v>
      </c>
      <c r="BG46" s="114">
        <v>42</v>
      </c>
      <c r="BH46" s="114">
        <v>693.60000000000605</v>
      </c>
      <c r="BI46" s="114">
        <v>5329.1</v>
      </c>
      <c r="BJ46" s="114">
        <v>39856.800000000003</v>
      </c>
      <c r="BK46" s="114" t="s">
        <v>939</v>
      </c>
      <c r="BL46" s="99">
        <v>60</v>
      </c>
      <c r="BM46" s="99">
        <v>0</v>
      </c>
      <c r="BN46" s="99">
        <v>2000.0000000000036</v>
      </c>
      <c r="BO46" s="99">
        <v>3492.2000000000007</v>
      </c>
      <c r="BP46" s="99">
        <v>0</v>
      </c>
      <c r="BQ46" s="99">
        <v>4517</v>
      </c>
      <c r="BR46" s="99">
        <v>136.19999999999999</v>
      </c>
      <c r="BS46" s="99">
        <v>1000</v>
      </c>
      <c r="BT46" s="99">
        <v>0</v>
      </c>
      <c r="BU46" s="99">
        <v>0</v>
      </c>
      <c r="BV46" s="99">
        <v>0</v>
      </c>
      <c r="BW46" s="99">
        <v>134.20000000000073</v>
      </c>
      <c r="BX46" s="99">
        <v>-9.9999999998544808E-2</v>
      </c>
      <c r="BY46" s="99">
        <v>6083.8</v>
      </c>
      <c r="BZ46" s="99">
        <v>7946.5</v>
      </c>
      <c r="CA46" s="99">
        <v>0</v>
      </c>
      <c r="CB46" s="99">
        <v>0</v>
      </c>
      <c r="CC46" s="99">
        <v>6</v>
      </c>
      <c r="CD46" s="99">
        <v>-0.10000000000582077</v>
      </c>
      <c r="CE46" s="99">
        <v>6060.4</v>
      </c>
      <c r="CF46" s="99">
        <v>0</v>
      </c>
      <c r="CG46" s="99">
        <v>0</v>
      </c>
      <c r="CH46" s="99">
        <v>500</v>
      </c>
      <c r="CI46" s="99">
        <v>0</v>
      </c>
      <c r="CJ46" s="99">
        <v>2454.2000000000007</v>
      </c>
      <c r="CK46" s="99">
        <v>0</v>
      </c>
      <c r="CL46" s="99">
        <v>135</v>
      </c>
      <c r="CM46" s="99">
        <f>149549.8+1000</f>
        <v>150549.79999999999</v>
      </c>
      <c r="CN46" s="99">
        <v>0</v>
      </c>
      <c r="CO46" s="99">
        <v>582.60000000000036</v>
      </c>
      <c r="CP46" s="99">
        <v>432</v>
      </c>
      <c r="CQ46" s="99">
        <v>0</v>
      </c>
      <c r="CR46" s="99">
        <v>0</v>
      </c>
      <c r="CS46" s="99">
        <v>29292.800000000279</v>
      </c>
      <c r="CT46" s="99"/>
      <c r="CU46" s="99"/>
      <c r="CV46" s="99"/>
      <c r="CW46" s="99"/>
      <c r="CX46" s="99"/>
      <c r="CY46" s="99"/>
      <c r="CZ46" s="99"/>
      <c r="DA46" s="99"/>
      <c r="DB46" s="99"/>
      <c r="DC46" s="99"/>
      <c r="DD46" s="99"/>
      <c r="DE46" s="99"/>
      <c r="DF46" s="99"/>
      <c r="DG46" s="99"/>
      <c r="DH46" s="99"/>
      <c r="DI46" s="99"/>
      <c r="DJ46" s="99"/>
      <c r="DK46" s="99"/>
      <c r="DL46" s="103">
        <v>1656.5</v>
      </c>
      <c r="DM46" s="99"/>
      <c r="DN46" s="103">
        <v>127.4</v>
      </c>
      <c r="DO46" s="99"/>
      <c r="DP46" s="99"/>
      <c r="DQ46" s="99"/>
      <c r="DR46" s="99"/>
      <c r="DS46" s="99"/>
      <c r="DT46" s="99"/>
      <c r="DU46" s="99"/>
      <c r="DV46" s="99"/>
      <c r="DW46" s="99"/>
      <c r="DX46" s="99"/>
      <c r="DY46" s="99"/>
      <c r="DZ46" s="99"/>
      <c r="EA46" s="99"/>
      <c r="EB46" s="99"/>
      <c r="EC46" s="99"/>
      <c r="ED46" s="99"/>
      <c r="EE46" s="99"/>
      <c r="EF46" s="99"/>
      <c r="EG46" s="99"/>
      <c r="EH46" s="99"/>
      <c r="EI46" s="99">
        <v>591807.19999999995</v>
      </c>
      <c r="EJ46" s="99">
        <v>0</v>
      </c>
      <c r="EK46" s="99">
        <v>305.10000000000036</v>
      </c>
      <c r="EL46" s="99">
        <v>0</v>
      </c>
      <c r="EM46" s="99">
        <v>0</v>
      </c>
      <c r="EN46" s="99">
        <v>0</v>
      </c>
      <c r="EO46" s="99">
        <v>3516.7000000000044</v>
      </c>
      <c r="EP46" s="99">
        <v>0</v>
      </c>
      <c r="EQ46" s="99">
        <v>1758.0999999999995</v>
      </c>
      <c r="ER46" s="99">
        <v>80646.700000000012</v>
      </c>
      <c r="ES46" s="99">
        <v>0</v>
      </c>
      <c r="ET46" s="99">
        <v>8778.2000000000007</v>
      </c>
      <c r="EU46" s="99"/>
      <c r="EV46" s="99">
        <v>1000</v>
      </c>
      <c r="EW46" s="99">
        <v>0</v>
      </c>
      <c r="EX46" s="99">
        <v>0</v>
      </c>
      <c r="EY46" s="99">
        <v>0</v>
      </c>
      <c r="EZ46" s="99">
        <v>0</v>
      </c>
      <c r="FA46" s="99">
        <v>0</v>
      </c>
      <c r="FB46" s="99">
        <v>0</v>
      </c>
      <c r="FC46" s="99">
        <v>-0.10000000000002274</v>
      </c>
      <c r="FD46" s="99">
        <v>432</v>
      </c>
      <c r="FE46" s="99">
        <v>1960.5999999999995</v>
      </c>
      <c r="FF46" s="99">
        <v>12204.899999999994</v>
      </c>
      <c r="FG46" s="99">
        <v>18339.800000000003</v>
      </c>
      <c r="FH46" s="99">
        <v>2829.7000000000116</v>
      </c>
      <c r="FI46" s="99">
        <v>0.1000000000003638</v>
      </c>
      <c r="FJ46" s="99">
        <v>0</v>
      </c>
      <c r="FK46" s="99">
        <v>0</v>
      </c>
      <c r="FL46" s="99">
        <v>0</v>
      </c>
      <c r="FM46" s="99"/>
      <c r="FN46" s="99">
        <v>0</v>
      </c>
      <c r="FO46" s="99">
        <v>3318.0000000000036</v>
      </c>
      <c r="FP46" s="99">
        <v>15688.299999999997</v>
      </c>
      <c r="FQ46" s="99">
        <v>169.4</v>
      </c>
      <c r="FR46" s="99">
        <v>3276.1</v>
      </c>
      <c r="FS46" s="99">
        <v>582.60000000000036</v>
      </c>
      <c r="FT46" s="99">
        <v>0</v>
      </c>
      <c r="FU46" s="99">
        <v>0</v>
      </c>
      <c r="FV46" s="99"/>
      <c r="FW46" s="99">
        <v>0</v>
      </c>
      <c r="FX46" s="99">
        <v>0</v>
      </c>
      <c r="FY46" s="99">
        <v>0</v>
      </c>
      <c r="FZ46" s="99">
        <v>0</v>
      </c>
      <c r="GA46" s="99">
        <v>0</v>
      </c>
      <c r="GB46" s="99"/>
      <c r="GC46" s="99"/>
      <c r="GD46" s="99">
        <v>3874.5000000000009</v>
      </c>
      <c r="GE46" s="99"/>
      <c r="GF46" s="99"/>
      <c r="GG46" s="99"/>
      <c r="GH46" s="99"/>
      <c r="GI46" s="99"/>
      <c r="GJ46" s="99">
        <v>245</v>
      </c>
      <c r="GK46" s="99"/>
      <c r="GL46" s="99"/>
      <c r="GM46" s="99"/>
      <c r="GN46" s="99"/>
      <c r="GO46" s="99"/>
      <c r="GP46" s="99"/>
      <c r="GQ46" s="99"/>
      <c r="GR46" s="99"/>
      <c r="GS46" s="99">
        <v>0</v>
      </c>
      <c r="GT46" s="99">
        <v>0</v>
      </c>
      <c r="GU46" s="99">
        <v>9115.5999999999985</v>
      </c>
      <c r="GV46" s="99">
        <v>0</v>
      </c>
      <c r="GW46" s="99">
        <v>0</v>
      </c>
      <c r="GX46" s="99">
        <v>0</v>
      </c>
      <c r="GY46" s="99">
        <v>0</v>
      </c>
      <c r="GZ46" s="99">
        <v>0</v>
      </c>
      <c r="HA46" s="99">
        <v>7208.7999999999956</v>
      </c>
      <c r="HB46" s="99">
        <v>1768.7000000000044</v>
      </c>
      <c r="HC46" s="99"/>
      <c r="HD46" s="99"/>
      <c r="HE46" s="99">
        <f>6933.5+1000</f>
        <v>7933.5</v>
      </c>
      <c r="HF46" s="99">
        <v>0</v>
      </c>
      <c r="HG46" s="99">
        <v>0</v>
      </c>
      <c r="HH46" s="99">
        <v>16054.800000000007</v>
      </c>
      <c r="HI46" s="99">
        <v>8425.5000000000018</v>
      </c>
      <c r="HJ46" s="99">
        <v>0</v>
      </c>
      <c r="HK46" s="99">
        <v>0</v>
      </c>
      <c r="HL46" s="99">
        <v>0</v>
      </c>
      <c r="HM46" s="99"/>
      <c r="HN46" s="99"/>
      <c r="HO46" s="99"/>
      <c r="HP46" s="99"/>
      <c r="HQ46" s="99"/>
      <c r="HR46" s="99"/>
      <c r="HS46" s="99"/>
      <c r="HT46" s="99"/>
      <c r="HU46" s="99"/>
      <c r="HV46" s="99"/>
      <c r="HW46" s="99">
        <f>958.5+500</f>
        <v>1458.5</v>
      </c>
      <c r="HX46" s="99"/>
      <c r="HY46" s="99"/>
      <c r="HZ46" s="99">
        <v>0</v>
      </c>
      <c r="IA46" s="99">
        <v>345.60000000000218</v>
      </c>
      <c r="IB46" s="99">
        <v>205.79999999999973</v>
      </c>
      <c r="IC46" s="99">
        <v>7156.1000000000022</v>
      </c>
      <c r="ID46" s="99">
        <v>31397.5</v>
      </c>
      <c r="IE46" s="99">
        <v>0</v>
      </c>
      <c r="IF46" s="99">
        <v>0</v>
      </c>
      <c r="IG46" s="99">
        <v>1235.7</v>
      </c>
      <c r="IH46" s="99">
        <v>0</v>
      </c>
      <c r="II46" s="99">
        <v>1938.6</v>
      </c>
      <c r="IJ46" s="99">
        <v>0</v>
      </c>
      <c r="IK46" s="99">
        <v>11347.7</v>
      </c>
      <c r="IL46" s="99">
        <v>324.00000000000182</v>
      </c>
      <c r="IM46" s="99">
        <v>13973.300000000001</v>
      </c>
      <c r="IN46" s="99">
        <v>0</v>
      </c>
      <c r="IO46" s="99">
        <v>390.5</v>
      </c>
      <c r="IP46" s="99">
        <v>0</v>
      </c>
      <c r="IQ46" s="99">
        <v>0</v>
      </c>
      <c r="IR46" s="99">
        <v>0</v>
      </c>
      <c r="IS46" s="99">
        <v>0</v>
      </c>
      <c r="IT46" s="99">
        <v>1345</v>
      </c>
      <c r="IU46" s="99">
        <v>7281.6</v>
      </c>
      <c r="IV46" s="99">
        <v>1080</v>
      </c>
      <c r="IW46" s="99">
        <v>0.1</v>
      </c>
      <c r="IX46" s="99">
        <v>790.29999999999927</v>
      </c>
      <c r="IY46" s="99">
        <v>776.30000000004657</v>
      </c>
      <c r="IZ46" s="99">
        <v>40.000000000000014</v>
      </c>
      <c r="JA46" s="99">
        <v>0</v>
      </c>
      <c r="JB46" s="99">
        <v>4346.7000000000007</v>
      </c>
      <c r="JC46" s="99">
        <v>0</v>
      </c>
      <c r="JD46" s="99"/>
      <c r="JE46" s="99"/>
      <c r="JF46" s="99"/>
      <c r="JG46" s="99"/>
      <c r="JH46" s="99"/>
      <c r="JI46" s="99"/>
      <c r="JJ46" s="99"/>
      <c r="JK46" s="99"/>
      <c r="JL46" s="99"/>
      <c r="JM46" s="99"/>
      <c r="JN46" s="99"/>
      <c r="JO46" s="99"/>
      <c r="JP46" s="99"/>
      <c r="JQ46" s="99"/>
      <c r="JR46" s="99"/>
      <c r="JS46" s="99"/>
      <c r="JT46" s="99"/>
      <c r="JU46" s="99"/>
      <c r="JV46" s="99"/>
      <c r="JW46" s="99"/>
      <c r="JX46" s="99"/>
      <c r="JY46" s="99"/>
      <c r="JZ46" s="99">
        <v>0</v>
      </c>
      <c r="KA46" s="99">
        <v>3349.8000000000006</v>
      </c>
      <c r="KB46" s="99"/>
      <c r="KC46" s="99"/>
      <c r="KD46" s="99"/>
      <c r="KE46" s="99"/>
      <c r="KF46" s="99"/>
      <c r="KG46" s="99">
        <v>0</v>
      </c>
      <c r="KH46" s="99">
        <v>4250</v>
      </c>
      <c r="KI46" s="99">
        <v>281.90000000000009</v>
      </c>
      <c r="KJ46" s="99">
        <v>219182.79999999882</v>
      </c>
      <c r="KK46" s="99">
        <v>0</v>
      </c>
      <c r="KL46" s="99">
        <v>0</v>
      </c>
      <c r="KM46" s="99">
        <v>0</v>
      </c>
      <c r="KN46" s="99">
        <v>0</v>
      </c>
      <c r="KO46" s="99">
        <v>0</v>
      </c>
      <c r="KP46" s="99">
        <v>0</v>
      </c>
      <c r="KQ46" s="99">
        <v>0</v>
      </c>
      <c r="KR46" s="99">
        <v>87778.299999999959</v>
      </c>
      <c r="KS46" s="99">
        <v>6.0999999999912689</v>
      </c>
      <c r="KT46" s="99">
        <v>0</v>
      </c>
      <c r="KU46" s="99">
        <v>1309.1999999999534</v>
      </c>
      <c r="KV46" s="99">
        <v>2798.7000000000044</v>
      </c>
      <c r="KW46" s="99">
        <v>796.5</v>
      </c>
      <c r="KX46" s="99">
        <f>169662.3+2700</f>
        <v>172362.3</v>
      </c>
      <c r="KY46" s="99">
        <v>7.9000000000014552</v>
      </c>
      <c r="KZ46" s="99">
        <v>3358.2000000000003</v>
      </c>
      <c r="LA46" s="99">
        <v>0</v>
      </c>
      <c r="LB46" s="99">
        <v>0</v>
      </c>
      <c r="LC46" s="99"/>
      <c r="LD46" s="99"/>
      <c r="LE46" s="99"/>
      <c r="LF46" s="99"/>
      <c r="LG46" s="99"/>
      <c r="LH46" s="99"/>
      <c r="LI46" s="99"/>
      <c r="LJ46" s="99"/>
      <c r="LK46" s="99"/>
      <c r="LL46" s="99"/>
      <c r="LM46" s="99"/>
      <c r="LN46" s="99"/>
      <c r="LO46" s="99"/>
      <c r="LP46" s="99"/>
      <c r="LQ46" s="99"/>
      <c r="LR46" s="99"/>
      <c r="LS46" s="99"/>
      <c r="LT46" s="99"/>
      <c r="LU46" s="99"/>
      <c r="LV46" s="99"/>
      <c r="LW46" s="99"/>
      <c r="LX46" s="99"/>
      <c r="LY46" s="99">
        <v>0</v>
      </c>
      <c r="LZ46" s="99">
        <v>0</v>
      </c>
      <c r="MA46" s="99">
        <v>10.000000000000909</v>
      </c>
      <c r="MB46" s="99">
        <v>50.799999999999727</v>
      </c>
      <c r="MC46" s="99">
        <v>0</v>
      </c>
      <c r="MD46" s="99">
        <v>1175.0000000000005</v>
      </c>
      <c r="ME46" s="99">
        <v>0</v>
      </c>
      <c r="MF46" s="99">
        <v>324</v>
      </c>
      <c r="MG46" s="99">
        <v>0</v>
      </c>
      <c r="MH46" s="99">
        <v>-0.1000000000003638</v>
      </c>
      <c r="MI46" s="99">
        <v>2524</v>
      </c>
      <c r="MJ46" s="99">
        <v>0</v>
      </c>
      <c r="MK46" s="99">
        <v>0</v>
      </c>
      <c r="ML46" s="99">
        <v>0</v>
      </c>
      <c r="MM46" s="99">
        <v>6124.4</v>
      </c>
      <c r="MN46" s="99">
        <v>0</v>
      </c>
      <c r="MO46" s="99">
        <v>0</v>
      </c>
      <c r="MP46" s="99">
        <v>0</v>
      </c>
      <c r="MQ46" s="99">
        <v>0</v>
      </c>
      <c r="MR46" s="99">
        <v>0</v>
      </c>
      <c r="MS46" s="99">
        <v>3418.5</v>
      </c>
      <c r="MT46" s="99">
        <v>0</v>
      </c>
      <c r="MU46" s="99">
        <v>0</v>
      </c>
      <c r="MV46" s="99">
        <v>324</v>
      </c>
      <c r="MW46" s="99">
        <v>148.19999999999982</v>
      </c>
      <c r="MX46" s="99">
        <v>0</v>
      </c>
      <c r="MY46" s="99">
        <v>-9.9999999999454303E-2</v>
      </c>
      <c r="MZ46" s="99">
        <v>0</v>
      </c>
      <c r="NA46" s="99">
        <f>17545.9+500</f>
        <v>18045.900000000001</v>
      </c>
      <c r="NB46" s="99"/>
      <c r="NC46" s="99"/>
      <c r="ND46" s="99"/>
      <c r="NE46" s="99"/>
      <c r="NF46" s="99"/>
      <c r="NG46" s="99">
        <v>0</v>
      </c>
      <c r="NH46" s="99">
        <v>341.90000000000146</v>
      </c>
      <c r="NI46" s="99">
        <v>2233.7000000000025</v>
      </c>
      <c r="NJ46" s="99">
        <v>750</v>
      </c>
      <c r="NK46" s="99">
        <v>0</v>
      </c>
      <c r="NL46" s="99">
        <v>2350.5999999999985</v>
      </c>
      <c r="NM46" s="99">
        <v>15513.7</v>
      </c>
      <c r="NN46" s="99">
        <v>0</v>
      </c>
      <c r="NO46" s="99">
        <v>0</v>
      </c>
      <c r="NP46" s="99">
        <v>527.29999999999995</v>
      </c>
      <c r="NQ46" s="99"/>
      <c r="NR46" s="99"/>
      <c r="NS46" s="99"/>
      <c r="NT46" s="99"/>
      <c r="NU46" s="99"/>
      <c r="NV46" s="99">
        <v>207.80000000000291</v>
      </c>
      <c r="NW46" s="99">
        <v>0</v>
      </c>
      <c r="NX46" s="99">
        <v>1142.6000000000004</v>
      </c>
      <c r="NY46" s="99">
        <v>1261.5999999999995</v>
      </c>
      <c r="NZ46" s="99">
        <v>240</v>
      </c>
      <c r="OA46" s="99">
        <v>0</v>
      </c>
      <c r="OB46" s="99"/>
      <c r="OC46" s="99"/>
      <c r="OD46" s="99">
        <v>0</v>
      </c>
      <c r="OE46" s="99">
        <v>0</v>
      </c>
      <c r="OF46" s="99">
        <v>1000</v>
      </c>
      <c r="OG46" s="99">
        <v>0.10000000000218279</v>
      </c>
      <c r="OH46" s="99">
        <v>2900.1000000000004</v>
      </c>
      <c r="OI46" s="99">
        <v>33450</v>
      </c>
      <c r="OJ46" s="99">
        <v>6.3664629124104977E-12</v>
      </c>
      <c r="OK46" s="99">
        <v>0</v>
      </c>
      <c r="OL46" s="99">
        <v>300</v>
      </c>
      <c r="OM46" s="99">
        <f>15467.4+1000</f>
        <v>16467.400000000001</v>
      </c>
      <c r="ON46" s="99">
        <v>300</v>
      </c>
      <c r="OO46" s="99">
        <v>778.90000000000009</v>
      </c>
      <c r="OP46" s="99">
        <v>8300.9000000000015</v>
      </c>
      <c r="OQ46" s="99">
        <v>900.89999999999964</v>
      </c>
      <c r="OR46" s="99">
        <v>237.59999999999945</v>
      </c>
      <c r="OS46" s="99">
        <v>36967.100000000035</v>
      </c>
      <c r="OT46" s="99">
        <v>1843.5</v>
      </c>
      <c r="OU46" s="99">
        <v>1186.7999999999993</v>
      </c>
      <c r="OV46" s="99">
        <v>0</v>
      </c>
      <c r="OW46" s="99">
        <v>0.30000000000000071</v>
      </c>
      <c r="OX46" s="99">
        <v>9.9999999999909051E-2</v>
      </c>
      <c r="OY46" s="99">
        <v>8000</v>
      </c>
      <c r="OZ46" s="99">
        <v>57135.399999999441</v>
      </c>
      <c r="PA46" s="99"/>
      <c r="PB46" s="99">
        <v>4637.4999999999854</v>
      </c>
      <c r="PC46" s="99">
        <v>0</v>
      </c>
      <c r="PD46" s="99"/>
      <c r="PE46" s="99">
        <v>1000</v>
      </c>
      <c r="PF46" s="99">
        <v>0</v>
      </c>
      <c r="PG46" s="99">
        <v>25572.900000000081</v>
      </c>
      <c r="PH46" s="99">
        <v>0</v>
      </c>
      <c r="PI46" s="99">
        <v>0</v>
      </c>
      <c r="PJ46" s="99">
        <v>2020.7000000000044</v>
      </c>
      <c r="PK46" s="99">
        <v>0</v>
      </c>
      <c r="PL46" s="99">
        <v>0</v>
      </c>
      <c r="PM46" s="99">
        <v>0</v>
      </c>
      <c r="PN46" s="99">
        <v>566.39999999999964</v>
      </c>
      <c r="PO46" s="99">
        <v>0</v>
      </c>
      <c r="PP46" s="99">
        <v>7.5</v>
      </c>
      <c r="PQ46" s="99">
        <v>1008</v>
      </c>
      <c r="PR46" s="99"/>
      <c r="PS46" s="99"/>
      <c r="PT46" s="99">
        <v>21.299999999999955</v>
      </c>
      <c r="PU46" s="99">
        <v>0</v>
      </c>
      <c r="PV46" s="99">
        <v>13000</v>
      </c>
      <c r="PW46" s="99">
        <v>6431.9000000000233</v>
      </c>
      <c r="PX46" s="99">
        <v>0</v>
      </c>
      <c r="PY46" s="99">
        <v>300</v>
      </c>
      <c r="PZ46" s="99">
        <v>0</v>
      </c>
      <c r="QA46" s="99">
        <v>0</v>
      </c>
      <c r="QB46" s="99">
        <v>54.400000000000091</v>
      </c>
      <c r="QC46" s="99">
        <v>2508.2000000000007</v>
      </c>
      <c r="QD46" s="99">
        <f>21434.3+1080</f>
        <v>22514.3</v>
      </c>
      <c r="QE46" s="99">
        <v>4390.3999999999978</v>
      </c>
      <c r="QF46" s="99">
        <v>0</v>
      </c>
      <c r="QG46" s="99">
        <v>0</v>
      </c>
      <c r="QH46" s="99">
        <v>1000.0000000000001</v>
      </c>
      <c r="QI46" s="99">
        <v>23266.400000000023</v>
      </c>
      <c r="QJ46" s="99">
        <v>9536.6999999999971</v>
      </c>
      <c r="QK46" s="99">
        <v>0</v>
      </c>
      <c r="QL46" s="99">
        <v>1909.5</v>
      </c>
      <c r="QM46" s="99"/>
      <c r="QN46" s="99"/>
      <c r="QO46" s="99"/>
      <c r="QP46" s="99"/>
      <c r="QQ46" s="99"/>
      <c r="QR46" s="99"/>
      <c r="QS46" s="99"/>
      <c r="QT46" s="99"/>
      <c r="QU46" s="99"/>
      <c r="QV46" s="99"/>
      <c r="QW46" s="99"/>
      <c r="QX46" s="99"/>
      <c r="QY46" s="99"/>
      <c r="QZ46" s="99"/>
      <c r="RA46" s="99"/>
      <c r="RB46" s="99"/>
      <c r="RC46" s="99"/>
      <c r="RD46" s="99"/>
      <c r="RE46" s="99"/>
      <c r="RF46" s="99"/>
      <c r="RG46" s="99"/>
      <c r="RH46" s="99"/>
      <c r="RI46" s="99"/>
      <c r="RJ46" s="99"/>
      <c r="RK46" s="99"/>
      <c r="RL46" s="99"/>
      <c r="RM46" s="99"/>
      <c r="RN46" s="99">
        <v>437.3</v>
      </c>
    </row>
    <row r="47" spans="1:482" s="60" customFormat="1" ht="11.25" customHeight="1" x14ac:dyDescent="0.2">
      <c r="A47" s="176" t="s">
        <v>871</v>
      </c>
      <c r="B47" s="176"/>
      <c r="C47" s="176"/>
      <c r="D47" s="157">
        <f t="shared" ref="D47:AI47" si="179">D48+D52+D60+D63+D65</f>
        <v>10899093.199999999</v>
      </c>
      <c r="E47" s="114">
        <f t="shared" si="179"/>
        <v>0</v>
      </c>
      <c r="F47" s="114">
        <f t="shared" si="179"/>
        <v>990.5</v>
      </c>
      <c r="G47" s="114">
        <f t="shared" si="179"/>
        <v>1785.5</v>
      </c>
      <c r="H47" s="114">
        <f t="shared" si="179"/>
        <v>140011.6</v>
      </c>
      <c r="I47" s="114">
        <f t="shared" si="179"/>
        <v>11029.7</v>
      </c>
      <c r="J47" s="114">
        <f t="shared" si="179"/>
        <v>60552.2</v>
      </c>
      <c r="K47" s="114">
        <f t="shared" si="179"/>
        <v>3142.5</v>
      </c>
      <c r="L47" s="114">
        <f t="shared" si="179"/>
        <v>16266.2</v>
      </c>
      <c r="M47" s="114">
        <f t="shared" si="179"/>
        <v>4541.5</v>
      </c>
      <c r="N47" s="114">
        <f t="shared" si="179"/>
        <v>799.1</v>
      </c>
      <c r="O47" s="114">
        <f t="shared" si="179"/>
        <v>3338.9</v>
      </c>
      <c r="P47" s="114">
        <f t="shared" si="179"/>
        <v>61203.1</v>
      </c>
      <c r="Q47" s="114">
        <f t="shared" si="179"/>
        <v>4164.3</v>
      </c>
      <c r="R47" s="114">
        <f t="shared" si="179"/>
        <v>122384.4</v>
      </c>
      <c r="S47" s="114">
        <f t="shared" si="179"/>
        <v>5278.5</v>
      </c>
      <c r="T47" s="114">
        <f t="shared" si="179"/>
        <v>12322.5</v>
      </c>
      <c r="U47" s="114">
        <f t="shared" si="179"/>
        <v>124.6</v>
      </c>
      <c r="V47" s="114">
        <f t="shared" si="179"/>
        <v>126.8</v>
      </c>
      <c r="W47" s="114">
        <f t="shared" si="179"/>
        <v>235</v>
      </c>
      <c r="X47" s="114">
        <f t="shared" si="179"/>
        <v>118810.5</v>
      </c>
      <c r="Y47" s="114">
        <f t="shared" si="179"/>
        <v>3525.5</v>
      </c>
      <c r="Z47" s="114">
        <f t="shared" si="179"/>
        <v>3429.6</v>
      </c>
      <c r="AA47" s="114">
        <f t="shared" si="179"/>
        <v>0</v>
      </c>
      <c r="AB47" s="114">
        <f t="shared" si="179"/>
        <v>12782.6</v>
      </c>
      <c r="AC47" s="114">
        <f t="shared" si="179"/>
        <v>486739.5</v>
      </c>
      <c r="AD47" s="114">
        <f t="shared" si="179"/>
        <v>26448.100000000002</v>
      </c>
      <c r="AE47" s="114">
        <f t="shared" si="179"/>
        <v>3255169.6</v>
      </c>
      <c r="AF47" s="114">
        <f t="shared" si="179"/>
        <v>5557.2</v>
      </c>
      <c r="AG47" s="114">
        <f t="shared" si="179"/>
        <v>84883.1</v>
      </c>
      <c r="AH47" s="114">
        <f t="shared" si="179"/>
        <v>81813.399999999994</v>
      </c>
      <c r="AI47" s="114">
        <f t="shared" si="179"/>
        <v>24414.6</v>
      </c>
      <c r="AJ47" s="114">
        <f t="shared" ref="AJ47:BJ47" si="180">AJ48+AJ52+AJ60+AJ63+AJ65</f>
        <v>1138167.2</v>
      </c>
      <c r="AK47" s="114">
        <f t="shared" si="180"/>
        <v>63257.8</v>
      </c>
      <c r="AL47" s="114">
        <f t="shared" si="180"/>
        <v>299.10000000000002</v>
      </c>
      <c r="AM47" s="114">
        <f t="shared" si="180"/>
        <v>24467.5</v>
      </c>
      <c r="AN47" s="114">
        <f t="shared" si="180"/>
        <v>10007.699999999999</v>
      </c>
      <c r="AO47" s="114">
        <f t="shared" si="180"/>
        <v>12176.2</v>
      </c>
      <c r="AP47" s="114">
        <f t="shared" si="180"/>
        <v>70511.8</v>
      </c>
      <c r="AQ47" s="114">
        <f t="shared" si="180"/>
        <v>119197.9</v>
      </c>
      <c r="AR47" s="114">
        <f t="shared" si="180"/>
        <v>153.19999999999999</v>
      </c>
      <c r="AS47" s="114">
        <f t="shared" si="180"/>
        <v>775.9</v>
      </c>
      <c r="AT47" s="114">
        <f t="shared" si="180"/>
        <v>591293.6</v>
      </c>
      <c r="AU47" s="114">
        <f t="shared" si="180"/>
        <v>283.8</v>
      </c>
      <c r="AV47" s="114">
        <f t="shared" si="180"/>
        <v>24952.100000000002</v>
      </c>
      <c r="AW47" s="114">
        <f t="shared" si="180"/>
        <v>57548.600000000006</v>
      </c>
      <c r="AX47" s="114">
        <f t="shared" si="180"/>
        <v>30396.799999999999</v>
      </c>
      <c r="AY47" s="114">
        <f t="shared" si="180"/>
        <v>22681.1</v>
      </c>
      <c r="AZ47" s="114">
        <f t="shared" si="180"/>
        <v>13854.800000000001</v>
      </c>
      <c r="BA47" s="114">
        <f t="shared" si="180"/>
        <v>8739.1</v>
      </c>
      <c r="BB47" s="114">
        <f t="shared" si="180"/>
        <v>20476.400000000001</v>
      </c>
      <c r="BC47" s="114">
        <f t="shared" si="180"/>
        <v>39513.9</v>
      </c>
      <c r="BD47" s="114">
        <f t="shared" si="180"/>
        <v>3586.3</v>
      </c>
      <c r="BE47" s="114">
        <f t="shared" si="180"/>
        <v>266787.8</v>
      </c>
      <c r="BF47" s="114">
        <f t="shared" si="180"/>
        <v>0</v>
      </c>
      <c r="BG47" s="114">
        <f t="shared" si="180"/>
        <v>789.2</v>
      </c>
      <c r="BH47" s="114">
        <f t="shared" si="180"/>
        <v>1512</v>
      </c>
      <c r="BI47" s="114">
        <f t="shared" si="180"/>
        <v>5323.0999999999995</v>
      </c>
      <c r="BJ47" s="114">
        <f t="shared" si="180"/>
        <v>6032</v>
      </c>
      <c r="BK47" s="114" t="s">
        <v>872</v>
      </c>
      <c r="BL47" s="99">
        <f t="shared" ref="BL47:CL47" si="181">BL48+BL52+BL60+BL63+BL65</f>
        <v>329.8</v>
      </c>
      <c r="BM47" s="99">
        <f t="shared" si="181"/>
        <v>0</v>
      </c>
      <c r="BN47" s="99">
        <f t="shared" si="181"/>
        <v>0</v>
      </c>
      <c r="BO47" s="99">
        <f t="shared" si="181"/>
        <v>91.600000000000009</v>
      </c>
      <c r="BP47" s="99">
        <f t="shared" si="181"/>
        <v>11871.800000000001</v>
      </c>
      <c r="BQ47" s="99">
        <f t="shared" si="181"/>
        <v>0</v>
      </c>
      <c r="BR47" s="99">
        <f t="shared" si="181"/>
        <v>4959.3</v>
      </c>
      <c r="BS47" s="99">
        <f t="shared" si="181"/>
        <v>710.5</v>
      </c>
      <c r="BT47" s="99">
        <f t="shared" si="181"/>
        <v>0</v>
      </c>
      <c r="BU47" s="99">
        <f t="shared" si="181"/>
        <v>0</v>
      </c>
      <c r="BV47" s="99">
        <f t="shared" si="181"/>
        <v>147.4</v>
      </c>
      <c r="BW47" s="99">
        <f t="shared" si="181"/>
        <v>664.2</v>
      </c>
      <c r="BX47" s="99">
        <f t="shared" si="181"/>
        <v>2070.8000000000002</v>
      </c>
      <c r="BY47" s="99">
        <f t="shared" si="181"/>
        <v>23857.100000000002</v>
      </c>
      <c r="BZ47" s="99">
        <f t="shared" si="181"/>
        <v>12238.5</v>
      </c>
      <c r="CA47" s="99">
        <f t="shared" si="181"/>
        <v>0</v>
      </c>
      <c r="CB47" s="99">
        <f t="shared" si="181"/>
        <v>0</v>
      </c>
      <c r="CC47" s="99">
        <f t="shared" si="181"/>
        <v>6405.3</v>
      </c>
      <c r="CD47" s="99">
        <f t="shared" si="181"/>
        <v>266.2</v>
      </c>
      <c r="CE47" s="99">
        <f t="shared" si="181"/>
        <v>1023.4</v>
      </c>
      <c r="CF47" s="99">
        <f t="shared" si="181"/>
        <v>0</v>
      </c>
      <c r="CG47" s="99">
        <f t="shared" si="181"/>
        <v>125</v>
      </c>
      <c r="CH47" s="99">
        <f t="shared" si="181"/>
        <v>6610.7999999999993</v>
      </c>
      <c r="CI47" s="99">
        <f t="shared" si="181"/>
        <v>195</v>
      </c>
      <c r="CJ47" s="99">
        <f t="shared" si="181"/>
        <v>1653.4</v>
      </c>
      <c r="CK47" s="99">
        <f t="shared" si="181"/>
        <v>819.9</v>
      </c>
      <c r="CL47" s="99">
        <f t="shared" si="181"/>
        <v>0</v>
      </c>
      <c r="CM47" s="99">
        <f t="shared" ref="CM47:DR47" si="182">CM48+CM52+CM60+CM63+CM65</f>
        <v>29783.5</v>
      </c>
      <c r="CN47" s="99">
        <f t="shared" si="182"/>
        <v>755.4</v>
      </c>
      <c r="CO47" s="99">
        <f t="shared" si="182"/>
        <v>0</v>
      </c>
      <c r="CP47" s="99">
        <f t="shared" si="182"/>
        <v>569</v>
      </c>
      <c r="CQ47" s="99">
        <f t="shared" si="182"/>
        <v>352.8</v>
      </c>
      <c r="CR47" s="99">
        <f t="shared" si="182"/>
        <v>0</v>
      </c>
      <c r="CS47" s="99">
        <f t="shared" si="182"/>
        <v>615258.9</v>
      </c>
      <c r="CT47" s="99">
        <f t="shared" si="182"/>
        <v>674.8</v>
      </c>
      <c r="CU47" s="99">
        <f t="shared" si="182"/>
        <v>45767.3</v>
      </c>
      <c r="CV47" s="99">
        <f t="shared" si="182"/>
        <v>3950.3</v>
      </c>
      <c r="CW47" s="99">
        <f t="shared" si="182"/>
        <v>932.3</v>
      </c>
      <c r="CX47" s="99">
        <f t="shared" si="182"/>
        <v>3027.2000000000003</v>
      </c>
      <c r="CY47" s="99">
        <f t="shared" si="182"/>
        <v>0</v>
      </c>
      <c r="CZ47" s="99">
        <f t="shared" si="182"/>
        <v>37</v>
      </c>
      <c r="DA47" s="99">
        <f t="shared" si="182"/>
        <v>39457.9</v>
      </c>
      <c r="DB47" s="99">
        <f t="shared" si="182"/>
        <v>9338.6</v>
      </c>
      <c r="DC47" s="99">
        <f t="shared" si="182"/>
        <v>460</v>
      </c>
      <c r="DD47" s="99">
        <f t="shared" si="182"/>
        <v>0</v>
      </c>
      <c r="DE47" s="99">
        <f t="shared" si="182"/>
        <v>0</v>
      </c>
      <c r="DF47" s="99">
        <f t="shared" si="182"/>
        <v>11006.300000000001</v>
      </c>
      <c r="DG47" s="99">
        <f t="shared" si="182"/>
        <v>263</v>
      </c>
      <c r="DH47" s="99">
        <f t="shared" si="182"/>
        <v>0</v>
      </c>
      <c r="DI47" s="99">
        <f t="shared" si="182"/>
        <v>6387.4</v>
      </c>
      <c r="DJ47" s="99">
        <f t="shared" si="182"/>
        <v>126</v>
      </c>
      <c r="DK47" s="99">
        <f t="shared" si="182"/>
        <v>0</v>
      </c>
      <c r="DL47" s="99">
        <f t="shared" si="182"/>
        <v>363.4</v>
      </c>
      <c r="DM47" s="99">
        <f t="shared" si="182"/>
        <v>250.9</v>
      </c>
      <c r="DN47" s="99">
        <f t="shared" si="182"/>
        <v>0</v>
      </c>
      <c r="DO47" s="99">
        <f t="shared" si="182"/>
        <v>314.5</v>
      </c>
      <c r="DP47" s="99">
        <f t="shared" si="182"/>
        <v>2931</v>
      </c>
      <c r="DQ47" s="99">
        <f t="shared" si="182"/>
        <v>282.10000000000002</v>
      </c>
      <c r="DR47" s="99">
        <f t="shared" si="182"/>
        <v>183</v>
      </c>
      <c r="DS47" s="99">
        <f t="shared" ref="DS47:EV47" si="183">DS48+DS52+DS60+DS63+DS65</f>
        <v>18375.8</v>
      </c>
      <c r="DT47" s="99">
        <f t="shared" si="183"/>
        <v>3665.8</v>
      </c>
      <c r="DU47" s="99">
        <f t="shared" si="183"/>
        <v>7466.1</v>
      </c>
      <c r="DV47" s="99">
        <f t="shared" si="183"/>
        <v>38334.5</v>
      </c>
      <c r="DW47" s="99">
        <f t="shared" si="183"/>
        <v>18028.8</v>
      </c>
      <c r="DX47" s="102">
        <f t="shared" si="183"/>
        <v>20.9</v>
      </c>
      <c r="DY47" s="99">
        <f t="shared" si="183"/>
        <v>0</v>
      </c>
      <c r="DZ47" s="99">
        <f t="shared" si="183"/>
        <v>0</v>
      </c>
      <c r="EA47" s="99">
        <f t="shared" si="183"/>
        <v>0</v>
      </c>
      <c r="EB47" s="99">
        <f t="shared" si="183"/>
        <v>0</v>
      </c>
      <c r="EC47" s="99">
        <f t="shared" si="183"/>
        <v>0</v>
      </c>
      <c r="ED47" s="99">
        <f t="shared" si="183"/>
        <v>260.7</v>
      </c>
      <c r="EE47" s="99">
        <f t="shared" si="183"/>
        <v>247.6</v>
      </c>
      <c r="EF47" s="99">
        <f t="shared" si="183"/>
        <v>0</v>
      </c>
      <c r="EG47" s="99">
        <f t="shared" si="183"/>
        <v>11446.2</v>
      </c>
      <c r="EH47" s="99">
        <f t="shared" si="183"/>
        <v>2093.1999999999998</v>
      </c>
      <c r="EI47" s="99">
        <f t="shared" si="183"/>
        <v>578769.9</v>
      </c>
      <c r="EJ47" s="99">
        <f t="shared" si="183"/>
        <v>0</v>
      </c>
      <c r="EK47" s="99">
        <f>EK48+EK52+EK60+EK63+EK65</f>
        <v>177.8</v>
      </c>
      <c r="EL47" s="99">
        <f t="shared" si="183"/>
        <v>234</v>
      </c>
      <c r="EM47" s="99">
        <f t="shared" si="183"/>
        <v>0</v>
      </c>
      <c r="EN47" s="99">
        <f t="shared" si="183"/>
        <v>0</v>
      </c>
      <c r="EO47" s="99">
        <f t="shared" si="183"/>
        <v>0</v>
      </c>
      <c r="EP47" s="99">
        <f t="shared" si="183"/>
        <v>0</v>
      </c>
      <c r="EQ47" s="99">
        <f t="shared" si="183"/>
        <v>2287</v>
      </c>
      <c r="ER47" s="99">
        <f t="shared" si="183"/>
        <v>9619.0000000000018</v>
      </c>
      <c r="ES47" s="99">
        <f t="shared" si="183"/>
        <v>0</v>
      </c>
      <c r="ET47" s="99">
        <f t="shared" si="183"/>
        <v>2000</v>
      </c>
      <c r="EU47" s="99">
        <f t="shared" si="183"/>
        <v>131</v>
      </c>
      <c r="EV47" s="99">
        <f t="shared" si="183"/>
        <v>640</v>
      </c>
      <c r="EW47" s="99">
        <f t="shared" ref="EW47:OV47" si="184">EW48+EW52+EW60+EW63+EW65</f>
        <v>55</v>
      </c>
      <c r="EX47" s="99">
        <f t="shared" si="184"/>
        <v>118.3</v>
      </c>
      <c r="EY47" s="99">
        <f t="shared" si="184"/>
        <v>50.9</v>
      </c>
      <c r="EZ47" s="99">
        <f>EZ48+EZ52+EZ60+EZ63+EZ65</f>
        <v>67.599999999999994</v>
      </c>
      <c r="FA47" s="99">
        <f>FA48+FA52+FA60+FA63+FA65</f>
        <v>115</v>
      </c>
      <c r="FB47" s="99">
        <f>FB48+FB52+FB60+FB63+FB65</f>
        <v>164</v>
      </c>
      <c r="FC47" s="99">
        <f>FC48+FC52+FC60+FC63+FC65</f>
        <v>165.3</v>
      </c>
      <c r="FD47" s="99">
        <f t="shared" si="184"/>
        <v>225</v>
      </c>
      <c r="FE47" s="99">
        <f t="shared" si="184"/>
        <v>544.70000000000005</v>
      </c>
      <c r="FF47" s="99">
        <f t="shared" ref="FF47:GR47" si="185">FF48+FF52+FF60+FF63+FF65</f>
        <v>2423.3000000000002</v>
      </c>
      <c r="FG47" s="99">
        <f t="shared" si="185"/>
        <v>13388.6</v>
      </c>
      <c r="FH47" s="99">
        <f t="shared" si="185"/>
        <v>1273.3</v>
      </c>
      <c r="FI47" s="99">
        <f t="shared" si="185"/>
        <v>260.5</v>
      </c>
      <c r="FJ47" s="99">
        <f t="shared" si="185"/>
        <v>151.80000000000001</v>
      </c>
      <c r="FK47" s="99">
        <f t="shared" si="185"/>
        <v>0</v>
      </c>
      <c r="FL47" s="99">
        <f t="shared" si="185"/>
        <v>0</v>
      </c>
      <c r="FM47" s="99">
        <f t="shared" si="185"/>
        <v>862</v>
      </c>
      <c r="FN47" s="99">
        <f t="shared" si="185"/>
        <v>0</v>
      </c>
      <c r="FO47" s="99">
        <f t="shared" si="185"/>
        <v>107.4</v>
      </c>
      <c r="FP47" s="99">
        <f t="shared" si="185"/>
        <v>13343.8</v>
      </c>
      <c r="FQ47" s="99">
        <f t="shared" si="185"/>
        <v>0</v>
      </c>
      <c r="FR47" s="99">
        <f t="shared" si="185"/>
        <v>2383.6</v>
      </c>
      <c r="FS47" s="99">
        <f t="shared" si="185"/>
        <v>165</v>
      </c>
      <c r="FT47" s="99">
        <f t="shared" si="185"/>
        <v>91.600000000000009</v>
      </c>
      <c r="FU47" s="99">
        <f t="shared" si="185"/>
        <v>0</v>
      </c>
      <c r="FV47" s="99">
        <f t="shared" si="185"/>
        <v>16804.3</v>
      </c>
      <c r="FW47" s="99">
        <f t="shared" si="185"/>
        <v>0</v>
      </c>
      <c r="FX47" s="99">
        <f t="shared" si="185"/>
        <v>0</v>
      </c>
      <c r="FY47" s="99">
        <f t="shared" si="185"/>
        <v>0</v>
      </c>
      <c r="FZ47" s="99">
        <f t="shared" si="185"/>
        <v>0</v>
      </c>
      <c r="GA47" s="99">
        <f t="shared" si="185"/>
        <v>1359</v>
      </c>
      <c r="GB47" s="99">
        <f t="shared" si="185"/>
        <v>7637</v>
      </c>
      <c r="GC47" s="99">
        <f t="shared" si="185"/>
        <v>524.5</v>
      </c>
      <c r="GD47" s="99">
        <f t="shared" si="185"/>
        <v>4701.8999999999996</v>
      </c>
      <c r="GE47" s="99">
        <f t="shared" si="185"/>
        <v>0</v>
      </c>
      <c r="GF47" s="99">
        <f t="shared" si="185"/>
        <v>118.8</v>
      </c>
      <c r="GG47" s="99">
        <f t="shared" si="185"/>
        <v>185.8</v>
      </c>
      <c r="GH47" s="99">
        <f t="shared" si="185"/>
        <v>13037.7</v>
      </c>
      <c r="GI47" s="99">
        <f t="shared" si="185"/>
        <v>67160.2</v>
      </c>
      <c r="GJ47" s="99">
        <f t="shared" si="185"/>
        <v>2792.3</v>
      </c>
      <c r="GK47" s="99">
        <f t="shared" si="185"/>
        <v>25</v>
      </c>
      <c r="GL47" s="99">
        <f t="shared" si="185"/>
        <v>0</v>
      </c>
      <c r="GM47" s="99">
        <f t="shared" si="185"/>
        <v>7454.8</v>
      </c>
      <c r="GN47" s="99">
        <f t="shared" si="185"/>
        <v>491.8</v>
      </c>
      <c r="GO47" s="99">
        <f t="shared" si="185"/>
        <v>1476.1</v>
      </c>
      <c r="GP47" s="99">
        <f t="shared" si="185"/>
        <v>0</v>
      </c>
      <c r="GQ47" s="99">
        <f t="shared" si="185"/>
        <v>0</v>
      </c>
      <c r="GR47" s="99">
        <f t="shared" si="185"/>
        <v>710</v>
      </c>
      <c r="GS47" s="99">
        <f t="shared" si="184"/>
        <v>0</v>
      </c>
      <c r="GT47" s="99">
        <f t="shared" ref="GT47:HG47" si="186">GT48+GT52+GT60+GT63+GT65</f>
        <v>0</v>
      </c>
      <c r="GU47" s="99">
        <f t="shared" si="186"/>
        <v>13386.1</v>
      </c>
      <c r="GV47" s="99">
        <f t="shared" si="186"/>
        <v>70</v>
      </c>
      <c r="GW47" s="99">
        <f t="shared" si="186"/>
        <v>0</v>
      </c>
      <c r="GX47" s="99">
        <f t="shared" si="186"/>
        <v>532</v>
      </c>
      <c r="GY47" s="99">
        <f t="shared" si="186"/>
        <v>0</v>
      </c>
      <c r="GZ47" s="99">
        <f t="shared" si="186"/>
        <v>16596.599999999999</v>
      </c>
      <c r="HA47" s="99">
        <f t="shared" si="186"/>
        <v>1932.5</v>
      </c>
      <c r="HB47" s="99">
        <f t="shared" si="186"/>
        <v>3000.5</v>
      </c>
      <c r="HC47" s="99">
        <f t="shared" si="186"/>
        <v>0</v>
      </c>
      <c r="HD47" s="99">
        <f t="shared" si="186"/>
        <v>0</v>
      </c>
      <c r="HE47" s="99">
        <f t="shared" si="186"/>
        <v>1325.4</v>
      </c>
      <c r="HF47" s="99">
        <f t="shared" si="186"/>
        <v>32</v>
      </c>
      <c r="HG47" s="99">
        <f t="shared" si="186"/>
        <v>0</v>
      </c>
      <c r="HH47" s="99">
        <f t="shared" si="184"/>
        <v>0</v>
      </c>
      <c r="HI47" s="99">
        <f t="shared" ref="HI47:IN47" si="187">HI48+HI52+HI60+HI63+HI65</f>
        <v>8186.1</v>
      </c>
      <c r="HJ47" s="99">
        <f t="shared" si="187"/>
        <v>375</v>
      </c>
      <c r="HK47" s="99">
        <f t="shared" si="187"/>
        <v>0</v>
      </c>
      <c r="HL47" s="99">
        <f t="shared" si="187"/>
        <v>0</v>
      </c>
      <c r="HM47" s="99">
        <f t="shared" si="187"/>
        <v>37607.4</v>
      </c>
      <c r="HN47" s="99">
        <f t="shared" si="187"/>
        <v>44209.3</v>
      </c>
      <c r="HO47" s="99">
        <f t="shared" si="187"/>
        <v>318.90000000000003</v>
      </c>
      <c r="HP47" s="99">
        <f t="shared" si="187"/>
        <v>0</v>
      </c>
      <c r="HQ47" s="99">
        <f t="shared" si="187"/>
        <v>0</v>
      </c>
      <c r="HR47" s="99">
        <f t="shared" si="187"/>
        <v>0</v>
      </c>
      <c r="HS47" s="99">
        <f t="shared" si="187"/>
        <v>454</v>
      </c>
      <c r="HT47" s="99">
        <f t="shared" si="187"/>
        <v>16425.8</v>
      </c>
      <c r="HU47" s="99">
        <f t="shared" si="187"/>
        <v>0</v>
      </c>
      <c r="HV47" s="99">
        <f t="shared" si="187"/>
        <v>2157</v>
      </c>
      <c r="HW47" s="99">
        <f t="shared" si="187"/>
        <v>3144.8</v>
      </c>
      <c r="HX47" s="99">
        <f t="shared" si="187"/>
        <v>0</v>
      </c>
      <c r="HY47" s="99">
        <f t="shared" si="187"/>
        <v>7656.7</v>
      </c>
      <c r="HZ47" s="99">
        <f t="shared" si="187"/>
        <v>0</v>
      </c>
      <c r="IA47" s="99">
        <f t="shared" si="187"/>
        <v>216</v>
      </c>
      <c r="IB47" s="99">
        <f t="shared" si="187"/>
        <v>3806.6</v>
      </c>
      <c r="IC47" s="99">
        <f t="shared" si="187"/>
        <v>10499.300000000001</v>
      </c>
      <c r="ID47" s="99">
        <f t="shared" si="187"/>
        <v>3558.6</v>
      </c>
      <c r="IE47" s="99">
        <f t="shared" si="187"/>
        <v>0</v>
      </c>
      <c r="IF47" s="99">
        <f t="shared" si="187"/>
        <v>52.5</v>
      </c>
      <c r="IG47" s="99">
        <f t="shared" si="187"/>
        <v>0</v>
      </c>
      <c r="IH47" s="99">
        <f t="shared" si="187"/>
        <v>291.5</v>
      </c>
      <c r="II47" s="99">
        <f t="shared" si="187"/>
        <v>3354.6</v>
      </c>
      <c r="IJ47" s="99">
        <f t="shared" si="187"/>
        <v>19922.3</v>
      </c>
      <c r="IK47" s="99">
        <f t="shared" si="187"/>
        <v>0</v>
      </c>
      <c r="IL47" s="99">
        <f t="shared" si="187"/>
        <v>90</v>
      </c>
      <c r="IM47" s="99">
        <f t="shared" si="187"/>
        <v>4837.3999999999996</v>
      </c>
      <c r="IN47" s="99">
        <f t="shared" si="187"/>
        <v>32</v>
      </c>
      <c r="IO47" s="99">
        <f t="shared" ref="IO47:JT47" si="188">IO48+IO52+IO60+IO63+IO65</f>
        <v>0</v>
      </c>
      <c r="IP47" s="99">
        <f t="shared" si="188"/>
        <v>0</v>
      </c>
      <c r="IQ47" s="99">
        <f t="shared" si="188"/>
        <v>0</v>
      </c>
      <c r="IR47" s="99">
        <f t="shared" si="188"/>
        <v>70533.3</v>
      </c>
      <c r="IS47" s="99">
        <f t="shared" si="188"/>
        <v>1953</v>
      </c>
      <c r="IT47" s="99">
        <f t="shared" si="188"/>
        <v>4327.8</v>
      </c>
      <c r="IU47" s="99">
        <f t="shared" si="188"/>
        <v>12141.1</v>
      </c>
      <c r="IV47" s="99">
        <f t="shared" si="188"/>
        <v>2387.1</v>
      </c>
      <c r="IW47" s="99">
        <f t="shared" si="188"/>
        <v>0</v>
      </c>
      <c r="IX47" s="99">
        <f t="shared" si="188"/>
        <v>325</v>
      </c>
      <c r="IY47" s="99">
        <f t="shared" si="188"/>
        <v>486.5</v>
      </c>
      <c r="IZ47" s="99">
        <f t="shared" si="188"/>
        <v>0</v>
      </c>
      <c r="JA47" s="99">
        <f t="shared" si="188"/>
        <v>269</v>
      </c>
      <c r="JB47" s="99">
        <f t="shared" si="188"/>
        <v>1947.8</v>
      </c>
      <c r="JC47" s="99">
        <f t="shared" si="188"/>
        <v>187.20000000000002</v>
      </c>
      <c r="JD47" s="99">
        <f t="shared" si="188"/>
        <v>11757.4</v>
      </c>
      <c r="JE47" s="99">
        <f t="shared" si="188"/>
        <v>0</v>
      </c>
      <c r="JF47" s="99">
        <f t="shared" si="188"/>
        <v>2583.1999999999998</v>
      </c>
      <c r="JG47" s="99">
        <f t="shared" si="188"/>
        <v>11589.800000000001</v>
      </c>
      <c r="JH47" s="99">
        <f t="shared" si="188"/>
        <v>424.3</v>
      </c>
      <c r="JI47" s="99">
        <f t="shared" si="188"/>
        <v>3170.7</v>
      </c>
      <c r="JJ47" s="99">
        <f t="shared" si="188"/>
        <v>1075</v>
      </c>
      <c r="JK47" s="99">
        <f t="shared" si="188"/>
        <v>6764.4</v>
      </c>
      <c r="JL47" s="99">
        <f t="shared" si="188"/>
        <v>2916</v>
      </c>
      <c r="JM47" s="99">
        <f t="shared" si="188"/>
        <v>19374.5</v>
      </c>
      <c r="JN47" s="99">
        <f t="shared" si="188"/>
        <v>100</v>
      </c>
      <c r="JO47" s="99">
        <f t="shared" si="188"/>
        <v>0</v>
      </c>
      <c r="JP47" s="99">
        <f t="shared" si="188"/>
        <v>0</v>
      </c>
      <c r="JQ47" s="99">
        <f t="shared" si="188"/>
        <v>0</v>
      </c>
      <c r="JR47" s="99">
        <f t="shared" si="188"/>
        <v>0</v>
      </c>
      <c r="JS47" s="99">
        <f t="shared" si="188"/>
        <v>0</v>
      </c>
      <c r="JT47" s="99">
        <f t="shared" si="188"/>
        <v>621.9</v>
      </c>
      <c r="JU47" s="99">
        <f t="shared" ref="JU47:KZ47" si="189">JU48+JU52+JU60+JU63+JU65</f>
        <v>0</v>
      </c>
      <c r="JV47" s="99">
        <f t="shared" si="189"/>
        <v>173</v>
      </c>
      <c r="JW47" s="99">
        <f t="shared" si="189"/>
        <v>6071.3</v>
      </c>
      <c r="JX47" s="99">
        <f t="shared" si="189"/>
        <v>647.5</v>
      </c>
      <c r="JY47" s="99">
        <f t="shared" si="189"/>
        <v>0</v>
      </c>
      <c r="JZ47" s="99">
        <f t="shared" si="189"/>
        <v>3919.4</v>
      </c>
      <c r="KA47" s="99">
        <f t="shared" si="189"/>
        <v>4233.2</v>
      </c>
      <c r="KB47" s="99">
        <f t="shared" si="189"/>
        <v>0</v>
      </c>
      <c r="KC47" s="99">
        <f t="shared" si="189"/>
        <v>1087</v>
      </c>
      <c r="KD47" s="99">
        <f t="shared" si="189"/>
        <v>0</v>
      </c>
      <c r="KE47" s="99">
        <f t="shared" si="189"/>
        <v>0</v>
      </c>
      <c r="KF47" s="99">
        <f t="shared" si="189"/>
        <v>0</v>
      </c>
      <c r="KG47" s="99">
        <f t="shared" si="189"/>
        <v>0</v>
      </c>
      <c r="KH47" s="99">
        <f t="shared" si="189"/>
        <v>4348</v>
      </c>
      <c r="KI47" s="99">
        <f t="shared" si="189"/>
        <v>259</v>
      </c>
      <c r="KJ47" s="99">
        <f t="shared" si="189"/>
        <v>206808.4</v>
      </c>
      <c r="KK47" s="99">
        <f t="shared" si="189"/>
        <v>150</v>
      </c>
      <c r="KL47" s="99">
        <f t="shared" si="189"/>
        <v>0</v>
      </c>
      <c r="KM47" s="99">
        <f t="shared" si="189"/>
        <v>44</v>
      </c>
      <c r="KN47" s="99">
        <f t="shared" si="189"/>
        <v>249.1</v>
      </c>
      <c r="KO47" s="99">
        <f t="shared" si="189"/>
        <v>103.4</v>
      </c>
      <c r="KP47" s="99">
        <f t="shared" si="189"/>
        <v>0</v>
      </c>
      <c r="KQ47" s="99">
        <f t="shared" si="189"/>
        <v>0</v>
      </c>
      <c r="KR47" s="99">
        <f t="shared" si="189"/>
        <v>130031.40000000001</v>
      </c>
      <c r="KS47" s="99">
        <f t="shared" si="189"/>
        <v>2863.4</v>
      </c>
      <c r="KT47" s="99">
        <f t="shared" si="189"/>
        <v>0</v>
      </c>
      <c r="KU47" s="99">
        <f t="shared" si="189"/>
        <v>5321.4</v>
      </c>
      <c r="KV47" s="99">
        <f t="shared" si="189"/>
        <v>4752.2000000000007</v>
      </c>
      <c r="KW47" s="99">
        <f t="shared" si="189"/>
        <v>1000</v>
      </c>
      <c r="KX47" s="99">
        <f t="shared" si="189"/>
        <v>143615.1</v>
      </c>
      <c r="KY47" s="99">
        <f t="shared" si="189"/>
        <v>135</v>
      </c>
      <c r="KZ47" s="99">
        <f t="shared" si="189"/>
        <v>2895</v>
      </c>
      <c r="LA47" s="99">
        <f t="shared" ref="LA47:OT47" si="190">LA48+LA52+LA60+LA63+LA65</f>
        <v>1932.8</v>
      </c>
      <c r="LB47" s="99">
        <f t="shared" si="190"/>
        <v>7758</v>
      </c>
      <c r="LC47" s="99">
        <f t="shared" ref="LC47:LJ47" si="191">LC48+LC52+LC60+LC63+LC65</f>
        <v>0</v>
      </c>
      <c r="LD47" s="99">
        <f t="shared" si="191"/>
        <v>0</v>
      </c>
      <c r="LE47" s="99">
        <f t="shared" si="191"/>
        <v>0</v>
      </c>
      <c r="LF47" s="99">
        <f t="shared" si="191"/>
        <v>0</v>
      </c>
      <c r="LG47" s="99">
        <f t="shared" si="191"/>
        <v>0</v>
      </c>
      <c r="LH47" s="99">
        <f t="shared" si="191"/>
        <v>0</v>
      </c>
      <c r="LI47" s="99">
        <f t="shared" si="191"/>
        <v>470</v>
      </c>
      <c r="LJ47" s="99">
        <f t="shared" si="191"/>
        <v>0</v>
      </c>
      <c r="LK47" s="99">
        <f t="shared" ref="LK47:LQ47" si="192">LK48+LK52+LK60+LK63+LK65</f>
        <v>348</v>
      </c>
      <c r="LL47" s="99">
        <f t="shared" si="192"/>
        <v>541.6</v>
      </c>
      <c r="LM47" s="99">
        <f>LM48+LM52+LM60+LM63+LM65</f>
        <v>0</v>
      </c>
      <c r="LN47" s="99">
        <f>LN48+LN52+LN60+LN63+LN65</f>
        <v>0</v>
      </c>
      <c r="LO47" s="99">
        <f t="shared" si="192"/>
        <v>585</v>
      </c>
      <c r="LP47" s="99">
        <f t="shared" si="192"/>
        <v>4328.2</v>
      </c>
      <c r="LQ47" s="99">
        <f t="shared" si="192"/>
        <v>7867.4</v>
      </c>
      <c r="LR47" s="99">
        <f t="shared" ref="LR47:MW47" si="193">LR48+LR52+LR60+LR63+LR65</f>
        <v>141.1</v>
      </c>
      <c r="LS47" s="99">
        <f t="shared" si="193"/>
        <v>0</v>
      </c>
      <c r="LT47" s="99">
        <f t="shared" si="193"/>
        <v>222.2</v>
      </c>
      <c r="LU47" s="99">
        <f t="shared" si="193"/>
        <v>857.6</v>
      </c>
      <c r="LV47" s="99">
        <f t="shared" si="193"/>
        <v>49698.1</v>
      </c>
      <c r="LW47" s="99">
        <f t="shared" si="193"/>
        <v>6994.9</v>
      </c>
      <c r="LX47" s="99">
        <f t="shared" si="193"/>
        <v>2602</v>
      </c>
      <c r="LY47" s="99">
        <f t="shared" si="193"/>
        <v>35</v>
      </c>
      <c r="LZ47" s="99">
        <f t="shared" si="193"/>
        <v>0</v>
      </c>
      <c r="MA47" s="99">
        <f t="shared" si="193"/>
        <v>0</v>
      </c>
      <c r="MB47" s="99">
        <f t="shared" si="193"/>
        <v>24</v>
      </c>
      <c r="MC47" s="99">
        <f t="shared" si="193"/>
        <v>369.8</v>
      </c>
      <c r="MD47" s="99">
        <f t="shared" si="193"/>
        <v>754.5</v>
      </c>
      <c r="ME47" s="99">
        <f t="shared" si="193"/>
        <v>0</v>
      </c>
      <c r="MF47" s="99">
        <f t="shared" si="193"/>
        <v>0</v>
      </c>
      <c r="MG47" s="99">
        <f t="shared" si="193"/>
        <v>0</v>
      </c>
      <c r="MH47" s="99">
        <f t="shared" si="193"/>
        <v>158.70000000000002</v>
      </c>
      <c r="MI47" s="99">
        <f t="shared" si="193"/>
        <v>2155</v>
      </c>
      <c r="MJ47" s="99">
        <f t="shared" si="193"/>
        <v>1099</v>
      </c>
      <c r="MK47" s="99">
        <f t="shared" si="193"/>
        <v>404</v>
      </c>
      <c r="ML47" s="99">
        <f t="shared" si="193"/>
        <v>136</v>
      </c>
      <c r="MM47" s="99">
        <f t="shared" si="193"/>
        <v>5907.1</v>
      </c>
      <c r="MN47" s="99">
        <f t="shared" si="193"/>
        <v>0</v>
      </c>
      <c r="MO47" s="99">
        <f t="shared" si="193"/>
        <v>0</v>
      </c>
      <c r="MP47" s="99">
        <f t="shared" si="193"/>
        <v>80</v>
      </c>
      <c r="MQ47" s="99">
        <f t="shared" si="193"/>
        <v>96.8</v>
      </c>
      <c r="MR47" s="99">
        <f t="shared" si="193"/>
        <v>815.6</v>
      </c>
      <c r="MS47" s="99">
        <f t="shared" si="193"/>
        <v>1200</v>
      </c>
      <c r="MT47" s="99">
        <f t="shared" si="193"/>
        <v>0</v>
      </c>
      <c r="MU47" s="99">
        <f t="shared" si="193"/>
        <v>0</v>
      </c>
      <c r="MV47" s="99">
        <f t="shared" si="193"/>
        <v>0</v>
      </c>
      <c r="MW47" s="99">
        <f t="shared" si="193"/>
        <v>647</v>
      </c>
      <c r="MX47" s="99">
        <f t="shared" ref="MX47:OC47" si="194">MX48+MX52+MX60+MX63+MX65</f>
        <v>183</v>
      </c>
      <c r="MY47" s="99">
        <f t="shared" si="194"/>
        <v>16</v>
      </c>
      <c r="MZ47" s="99">
        <f t="shared" si="194"/>
        <v>0</v>
      </c>
      <c r="NA47" s="99">
        <f t="shared" si="194"/>
        <v>16220.8</v>
      </c>
      <c r="NB47" s="99">
        <f t="shared" si="194"/>
        <v>540</v>
      </c>
      <c r="NC47" s="99">
        <f t="shared" si="194"/>
        <v>0</v>
      </c>
      <c r="ND47" s="99">
        <f t="shared" si="194"/>
        <v>0</v>
      </c>
      <c r="NE47" s="99">
        <f t="shared" si="194"/>
        <v>0</v>
      </c>
      <c r="NF47" s="99">
        <f t="shared" si="194"/>
        <v>35730.6</v>
      </c>
      <c r="NG47" s="99">
        <f t="shared" si="194"/>
        <v>31.8</v>
      </c>
      <c r="NH47" s="99">
        <f t="shared" si="194"/>
        <v>53.6</v>
      </c>
      <c r="NI47" s="99">
        <f t="shared" si="194"/>
        <v>1293.4000000000001</v>
      </c>
      <c r="NJ47" s="99">
        <f t="shared" si="194"/>
        <v>668</v>
      </c>
      <c r="NK47" s="99">
        <f t="shared" si="194"/>
        <v>10622.4</v>
      </c>
      <c r="NL47" s="99">
        <f t="shared" si="194"/>
        <v>69</v>
      </c>
      <c r="NM47" s="99">
        <f t="shared" si="194"/>
        <v>10506.7</v>
      </c>
      <c r="NN47" s="99">
        <f t="shared" si="194"/>
        <v>1615.1</v>
      </c>
      <c r="NO47" s="99">
        <f t="shared" si="194"/>
        <v>41.6</v>
      </c>
      <c r="NP47" s="99">
        <f t="shared" si="194"/>
        <v>415</v>
      </c>
      <c r="NQ47" s="99">
        <f t="shared" si="194"/>
        <v>1648</v>
      </c>
      <c r="NR47" s="99">
        <f t="shared" si="194"/>
        <v>215.8</v>
      </c>
      <c r="NS47" s="99">
        <f t="shared" si="194"/>
        <v>0</v>
      </c>
      <c r="NT47" s="99">
        <f t="shared" si="194"/>
        <v>278.10000000000002</v>
      </c>
      <c r="NU47" s="99">
        <f t="shared" si="194"/>
        <v>0</v>
      </c>
      <c r="NV47" s="99">
        <f t="shared" si="194"/>
        <v>210.20000000000002</v>
      </c>
      <c r="NW47" s="99">
        <f t="shared" si="194"/>
        <v>28</v>
      </c>
      <c r="NX47" s="99">
        <f t="shared" si="194"/>
        <v>320</v>
      </c>
      <c r="NY47" s="99">
        <f t="shared" si="194"/>
        <v>657.6</v>
      </c>
      <c r="NZ47" s="99">
        <f t="shared" si="194"/>
        <v>1772</v>
      </c>
      <c r="OA47" s="99">
        <f t="shared" si="194"/>
        <v>8520</v>
      </c>
      <c r="OB47" s="99">
        <f t="shared" si="194"/>
        <v>0</v>
      </c>
      <c r="OC47" s="99">
        <f t="shared" si="194"/>
        <v>30830.5</v>
      </c>
      <c r="OD47" s="99">
        <f t="shared" ref="OD47:OG47" si="195">OD48+OD52+OD60+OD63+OD65</f>
        <v>0</v>
      </c>
      <c r="OE47" s="99">
        <f t="shared" si="195"/>
        <v>210.1</v>
      </c>
      <c r="OF47" s="99">
        <f t="shared" si="195"/>
        <v>3789.4</v>
      </c>
      <c r="OG47" s="99">
        <f t="shared" si="195"/>
        <v>468.6</v>
      </c>
      <c r="OH47" s="99">
        <f t="shared" si="190"/>
        <v>372.7</v>
      </c>
      <c r="OI47" s="99">
        <f t="shared" si="190"/>
        <v>720</v>
      </c>
      <c r="OJ47" s="99">
        <f>OJ48+OJ52+OJ60+OJ63+OJ65</f>
        <v>5085</v>
      </c>
      <c r="OK47" s="99">
        <f>OK48+OK52+OK60+OK63+OK65</f>
        <v>69.600000000000009</v>
      </c>
      <c r="OL47" s="99">
        <f t="shared" si="190"/>
        <v>7686.5</v>
      </c>
      <c r="OM47" s="99">
        <f t="shared" si="190"/>
        <v>91.3</v>
      </c>
      <c r="ON47" s="99">
        <f>ON48+ON52+ON60+ON63+ON65</f>
        <v>3825</v>
      </c>
      <c r="OO47" s="99">
        <f t="shared" si="190"/>
        <v>469.3</v>
      </c>
      <c r="OP47" s="99">
        <f t="shared" si="190"/>
        <v>10683.1</v>
      </c>
      <c r="OQ47" s="99">
        <f t="shared" si="190"/>
        <v>422.40000000000003</v>
      </c>
      <c r="OR47" s="99">
        <f t="shared" si="190"/>
        <v>1009</v>
      </c>
      <c r="OS47" s="99">
        <f t="shared" si="190"/>
        <v>13761.8</v>
      </c>
      <c r="OT47" s="99">
        <f t="shared" si="190"/>
        <v>3099</v>
      </c>
      <c r="OU47" s="99">
        <f t="shared" si="184"/>
        <v>1651.4</v>
      </c>
      <c r="OV47" s="99">
        <f t="shared" si="184"/>
        <v>401.1</v>
      </c>
      <c r="OW47" s="99">
        <f t="shared" ref="OW47:PH47" si="196">OW48+OW52+OW60+OW63+OW65</f>
        <v>30</v>
      </c>
      <c r="OX47" s="99">
        <f t="shared" si="196"/>
        <v>123.1</v>
      </c>
      <c r="OY47" s="99">
        <f t="shared" si="196"/>
        <v>0</v>
      </c>
      <c r="OZ47" s="99">
        <f t="shared" si="196"/>
        <v>195048.9</v>
      </c>
      <c r="PA47" s="99">
        <f t="shared" si="196"/>
        <v>2432.1</v>
      </c>
      <c r="PB47" s="99">
        <f>PB48+PB52+PB60+PB63+PB65</f>
        <v>9198.2999999999993</v>
      </c>
      <c r="PC47" s="99">
        <f t="shared" si="196"/>
        <v>0</v>
      </c>
      <c r="PD47" s="99">
        <f>PD48+PD52+PD60+PD63+PD65</f>
        <v>1530.8</v>
      </c>
      <c r="PE47" s="99">
        <f t="shared" si="196"/>
        <v>4561.6000000000004</v>
      </c>
      <c r="PF47" s="99">
        <f t="shared" si="196"/>
        <v>2</v>
      </c>
      <c r="PG47" s="99">
        <f t="shared" si="196"/>
        <v>495967.2</v>
      </c>
      <c r="PH47" s="99">
        <f t="shared" si="196"/>
        <v>1630.8</v>
      </c>
      <c r="PI47" s="99">
        <f>PI48+PI52+PI60+PI63+PI65</f>
        <v>3505.1</v>
      </c>
      <c r="PJ47" s="99">
        <f t="shared" ref="PJ47:QC47" si="197">PJ48+PJ52+PJ60+PJ63+PJ65</f>
        <v>1145.2</v>
      </c>
      <c r="PK47" s="99">
        <f t="shared" si="197"/>
        <v>245.5</v>
      </c>
      <c r="PL47" s="99">
        <f t="shared" si="197"/>
        <v>0</v>
      </c>
      <c r="PM47" s="99">
        <f t="shared" si="197"/>
        <v>19.2</v>
      </c>
      <c r="PN47" s="99">
        <f t="shared" ref="PN47:PS47" si="198">PN48+PN52+PN60+PN63+PN65</f>
        <v>172</v>
      </c>
      <c r="PO47" s="99">
        <f t="shared" si="198"/>
        <v>2085.4</v>
      </c>
      <c r="PP47" s="99">
        <f t="shared" si="198"/>
        <v>1136.5</v>
      </c>
      <c r="PQ47" s="99">
        <f t="shared" si="198"/>
        <v>3322</v>
      </c>
      <c r="PR47" s="99">
        <f t="shared" si="198"/>
        <v>3997</v>
      </c>
      <c r="PS47" s="99">
        <f t="shared" si="198"/>
        <v>4743.3999999999996</v>
      </c>
      <c r="PT47" s="99">
        <f t="shared" si="197"/>
        <v>186</v>
      </c>
      <c r="PU47" s="99">
        <f>PU48+PU52+PU60+PU63+PU65</f>
        <v>0.2</v>
      </c>
      <c r="PV47" s="99">
        <f t="shared" si="197"/>
        <v>7438.4</v>
      </c>
      <c r="PW47" s="99">
        <f>PW48+PW52+PW60+PW63+PW65</f>
        <v>17009.400000000001</v>
      </c>
      <c r="PX47" s="99">
        <f>PX48+PX52+PX60+PX63+PX65</f>
        <v>691.5</v>
      </c>
      <c r="PY47" s="99">
        <f>PY48+PY52+PY60+PY63+PY65</f>
        <v>144</v>
      </c>
      <c r="PZ47" s="99">
        <f>PZ48+PZ52+PZ60+PZ63+PZ65</f>
        <v>174.5</v>
      </c>
      <c r="QA47" s="99">
        <f>QA48+QA52+QA60+QA63+QA65</f>
        <v>0</v>
      </c>
      <c r="QB47" s="99">
        <f t="shared" si="197"/>
        <v>2016</v>
      </c>
      <c r="QC47" s="99">
        <f t="shared" si="197"/>
        <v>5038.2000000000007</v>
      </c>
      <c r="QD47" s="99">
        <f>QD48+QD52+QD60+QD63+QD65</f>
        <v>30475.4</v>
      </c>
      <c r="QE47" s="99">
        <f t="shared" ref="QE47:QJ47" si="199">QE48+QE52+QE60+QE63+QE65</f>
        <v>10196.900000000001</v>
      </c>
      <c r="QF47" s="99">
        <f t="shared" si="199"/>
        <v>110.2</v>
      </c>
      <c r="QG47" s="99">
        <f t="shared" si="199"/>
        <v>385.2</v>
      </c>
      <c r="QH47" s="99">
        <f t="shared" si="199"/>
        <v>1000</v>
      </c>
      <c r="QI47" s="99">
        <f t="shared" si="199"/>
        <v>19964.599999999999</v>
      </c>
      <c r="QJ47" s="99">
        <f t="shared" si="199"/>
        <v>5656.6</v>
      </c>
      <c r="QK47" s="99">
        <f>QK48+QK52+QK60+QK63+QK65</f>
        <v>0</v>
      </c>
      <c r="QL47" s="99">
        <f t="shared" ref="QL47:QM47" si="200">QL48+QL52+QL60+QL63+QL65</f>
        <v>1803</v>
      </c>
      <c r="QM47" s="99">
        <f t="shared" si="200"/>
        <v>9149.7999999999993</v>
      </c>
      <c r="QN47" s="99">
        <f>QN48+QN52+QN60+QN63+QN65</f>
        <v>20954.400000000001</v>
      </c>
      <c r="QO47" s="99">
        <f>QO48+QO52+QO60+QO63+QO65</f>
        <v>8573.7999999999993</v>
      </c>
      <c r="QP47" s="99">
        <f t="shared" ref="QP47" si="201">QP48+QP52+QP60+QP63+QP65</f>
        <v>1807.3</v>
      </c>
      <c r="QQ47" s="99">
        <f>QQ48+QQ52+QQ60+QQ63+QQ65</f>
        <v>45924.299999999996</v>
      </c>
      <c r="QR47" s="99">
        <f>QR48+QR52+QR60+QR63+QR65</f>
        <v>15557</v>
      </c>
      <c r="QS47" s="99">
        <f t="shared" ref="QS47:RM47" si="202">QS48+QS52+QS60+QS63+QS65</f>
        <v>0</v>
      </c>
      <c r="QT47" s="99">
        <f>QT48+QT52+QT60+QT63+QT65</f>
        <v>672</v>
      </c>
      <c r="QU47" s="99">
        <f>QU48+QU52+QU60+QU63+QU65</f>
        <v>432</v>
      </c>
      <c r="QV47" s="99">
        <f t="shared" si="202"/>
        <v>656</v>
      </c>
      <c r="QW47" s="99">
        <f t="shared" si="202"/>
        <v>216</v>
      </c>
      <c r="QX47" s="99">
        <f t="shared" si="202"/>
        <v>1400</v>
      </c>
      <c r="QY47" s="99">
        <f t="shared" si="202"/>
        <v>586.5</v>
      </c>
      <c r="QZ47" s="99">
        <f t="shared" si="202"/>
        <v>216.8</v>
      </c>
      <c r="RA47" s="99">
        <f t="shared" si="202"/>
        <v>1973</v>
      </c>
      <c r="RB47" s="99">
        <f t="shared" si="202"/>
        <v>2918</v>
      </c>
      <c r="RC47" s="99">
        <f t="shared" si="202"/>
        <v>2291.1</v>
      </c>
      <c r="RD47" s="99">
        <f t="shared" si="202"/>
        <v>5543.5</v>
      </c>
      <c r="RE47" s="99">
        <f>RE48+RE52+RE60+RE63+RE65</f>
        <v>204</v>
      </c>
      <c r="RF47" s="99">
        <f t="shared" si="202"/>
        <v>2376</v>
      </c>
      <c r="RG47" s="99">
        <f>RG48+RG52+RG60+RG63+RG65</f>
        <v>135.30000000000001</v>
      </c>
      <c r="RH47" s="99">
        <f t="shared" si="202"/>
        <v>45</v>
      </c>
      <c r="RI47" s="99">
        <f t="shared" si="202"/>
        <v>292</v>
      </c>
      <c r="RJ47" s="99">
        <f>RJ48+RJ52+RJ60+RJ63+RJ65</f>
        <v>1278.5</v>
      </c>
      <c r="RK47" s="99">
        <f t="shared" si="202"/>
        <v>509.8</v>
      </c>
      <c r="RL47" s="99">
        <f t="shared" si="202"/>
        <v>396</v>
      </c>
      <c r="RM47" s="99">
        <f t="shared" si="202"/>
        <v>552</v>
      </c>
      <c r="RN47" s="99">
        <f>RN48+RN52+RN60+RN63+RN65</f>
        <v>4000</v>
      </c>
    </row>
    <row r="48" spans="1:482" s="60" customFormat="1" ht="11.25" customHeight="1" x14ac:dyDescent="0.2">
      <c r="A48" s="176" t="s">
        <v>873</v>
      </c>
      <c r="B48" s="176"/>
      <c r="C48" s="176"/>
      <c r="D48" s="156">
        <f t="shared" ref="D48:AI48" si="203">SUM(D49:D51)</f>
        <v>5261343.1999999993</v>
      </c>
      <c r="E48" s="114">
        <f t="shared" si="203"/>
        <v>0</v>
      </c>
      <c r="F48" s="114">
        <f t="shared" si="203"/>
        <v>445.1</v>
      </c>
      <c r="G48" s="114">
        <f t="shared" si="203"/>
        <v>586</v>
      </c>
      <c r="H48" s="114">
        <f t="shared" si="203"/>
        <v>48886.6</v>
      </c>
      <c r="I48" s="114">
        <f t="shared" si="203"/>
        <v>604.70000000000005</v>
      </c>
      <c r="J48" s="114">
        <f t="shared" si="203"/>
        <v>8402.2000000000007</v>
      </c>
      <c r="K48" s="114">
        <f t="shared" si="203"/>
        <v>3142.5</v>
      </c>
      <c r="L48" s="114">
        <f t="shared" si="203"/>
        <v>2368.5</v>
      </c>
      <c r="M48" s="114">
        <f t="shared" si="203"/>
        <v>3712.6</v>
      </c>
      <c r="N48" s="114">
        <f t="shared" si="203"/>
        <v>0.1</v>
      </c>
      <c r="O48" s="114">
        <f t="shared" si="203"/>
        <v>436.4</v>
      </c>
      <c r="P48" s="114">
        <f t="shared" si="203"/>
        <v>43858.2</v>
      </c>
      <c r="Q48" s="114">
        <f t="shared" si="203"/>
        <v>4164.3</v>
      </c>
      <c r="R48" s="114">
        <f t="shared" si="203"/>
        <v>3327.4</v>
      </c>
      <c r="S48" s="114">
        <f t="shared" si="203"/>
        <v>382.5</v>
      </c>
      <c r="T48" s="114">
        <f t="shared" si="203"/>
        <v>565.4</v>
      </c>
      <c r="U48" s="114">
        <f t="shared" si="203"/>
        <v>124.6</v>
      </c>
      <c r="V48" s="114">
        <f t="shared" si="203"/>
        <v>126.8</v>
      </c>
      <c r="W48" s="114">
        <f t="shared" si="203"/>
        <v>235</v>
      </c>
      <c r="X48" s="114">
        <f t="shared" si="203"/>
        <v>49813.600000000006</v>
      </c>
      <c r="Y48" s="114">
        <f t="shared" si="203"/>
        <v>3525.5</v>
      </c>
      <c r="Z48" s="114">
        <f t="shared" si="203"/>
        <v>3429.6</v>
      </c>
      <c r="AA48" s="114">
        <f t="shared" si="203"/>
        <v>0</v>
      </c>
      <c r="AB48" s="114">
        <f t="shared" si="203"/>
        <v>12782.6</v>
      </c>
      <c r="AC48" s="114">
        <f t="shared" si="203"/>
        <v>271336.8</v>
      </c>
      <c r="AD48" s="114">
        <f t="shared" si="203"/>
        <v>26448.100000000002</v>
      </c>
      <c r="AE48" s="114">
        <f t="shared" si="203"/>
        <v>1691444.3</v>
      </c>
      <c r="AF48" s="114">
        <f t="shared" si="203"/>
        <v>5557.2</v>
      </c>
      <c r="AG48" s="114">
        <f t="shared" si="203"/>
        <v>39025</v>
      </c>
      <c r="AH48" s="114">
        <f t="shared" si="203"/>
        <v>48309.5</v>
      </c>
      <c r="AI48" s="114">
        <f t="shared" si="203"/>
        <v>12461.4</v>
      </c>
      <c r="AJ48" s="114">
        <f t="shared" ref="AJ48:BJ48" si="204">SUM(AJ49:AJ51)</f>
        <v>244177.7</v>
      </c>
      <c r="AK48" s="114">
        <f t="shared" si="204"/>
        <v>42676.1</v>
      </c>
      <c r="AL48" s="114">
        <f t="shared" si="204"/>
        <v>299.10000000000002</v>
      </c>
      <c r="AM48" s="114">
        <f t="shared" si="204"/>
        <v>747.5</v>
      </c>
      <c r="AN48" s="114">
        <f t="shared" si="204"/>
        <v>6807.2999999999993</v>
      </c>
      <c r="AO48" s="114">
        <f t="shared" si="204"/>
        <v>3539.3</v>
      </c>
      <c r="AP48" s="114">
        <f t="shared" si="204"/>
        <v>40022.300000000003</v>
      </c>
      <c r="AQ48" s="114">
        <f t="shared" si="204"/>
        <v>64150.899999999994</v>
      </c>
      <c r="AR48" s="114">
        <f t="shared" si="204"/>
        <v>153.19999999999999</v>
      </c>
      <c r="AS48" s="114">
        <f t="shared" si="204"/>
        <v>775.9</v>
      </c>
      <c r="AT48" s="114">
        <f t="shared" si="204"/>
        <v>101152.7</v>
      </c>
      <c r="AU48" s="114">
        <f t="shared" si="204"/>
        <v>283.8</v>
      </c>
      <c r="AV48" s="114">
        <f t="shared" si="204"/>
        <v>17142.800000000003</v>
      </c>
      <c r="AW48" s="114">
        <f t="shared" si="204"/>
        <v>52883.3</v>
      </c>
      <c r="AX48" s="114">
        <f t="shared" si="204"/>
        <v>21937.599999999999</v>
      </c>
      <c r="AY48" s="114">
        <f t="shared" si="204"/>
        <v>22681.1</v>
      </c>
      <c r="AZ48" s="114">
        <f t="shared" si="204"/>
        <v>5598.1</v>
      </c>
      <c r="BA48" s="114">
        <f t="shared" si="204"/>
        <v>4194</v>
      </c>
      <c r="BB48" s="114">
        <f t="shared" si="204"/>
        <v>14880.9</v>
      </c>
      <c r="BC48" s="114">
        <f t="shared" si="204"/>
        <v>8162.6</v>
      </c>
      <c r="BD48" s="114">
        <f t="shared" si="204"/>
        <v>1586.3</v>
      </c>
      <c r="BE48" s="114">
        <f t="shared" si="204"/>
        <v>64945.7</v>
      </c>
      <c r="BF48" s="114">
        <f t="shared" si="204"/>
        <v>0</v>
      </c>
      <c r="BG48" s="114">
        <f t="shared" si="204"/>
        <v>789.2</v>
      </c>
      <c r="BH48" s="114">
        <f t="shared" si="204"/>
        <v>1512</v>
      </c>
      <c r="BI48" s="114">
        <f t="shared" si="204"/>
        <v>284.89999999999998</v>
      </c>
      <c r="BJ48" s="114">
        <f t="shared" si="204"/>
        <v>2391</v>
      </c>
      <c r="BK48" s="114" t="s">
        <v>940</v>
      </c>
      <c r="BL48" s="99">
        <f t="shared" ref="BL48:CL48" si="205">SUM(BL49:BL51)</f>
        <v>149.80000000000001</v>
      </c>
      <c r="BM48" s="99">
        <f t="shared" si="205"/>
        <v>0</v>
      </c>
      <c r="BN48" s="99">
        <f t="shared" si="205"/>
        <v>0</v>
      </c>
      <c r="BO48" s="99">
        <f t="shared" si="205"/>
        <v>91.600000000000009</v>
      </c>
      <c r="BP48" s="99">
        <f t="shared" si="205"/>
        <v>11471.800000000001</v>
      </c>
      <c r="BQ48" s="99">
        <f t="shared" si="205"/>
        <v>0</v>
      </c>
      <c r="BR48" s="99">
        <f t="shared" si="205"/>
        <v>4823.1000000000004</v>
      </c>
      <c r="BS48" s="99">
        <f t="shared" si="205"/>
        <v>94.5</v>
      </c>
      <c r="BT48" s="99">
        <f t="shared" si="205"/>
        <v>0</v>
      </c>
      <c r="BU48" s="99">
        <f t="shared" si="205"/>
        <v>0</v>
      </c>
      <c r="BV48" s="99">
        <f t="shared" si="205"/>
        <v>147.4</v>
      </c>
      <c r="BW48" s="99">
        <f t="shared" si="205"/>
        <v>530</v>
      </c>
      <c r="BX48" s="99">
        <f t="shared" si="205"/>
        <v>429.80000000000007</v>
      </c>
      <c r="BY48" s="99">
        <f t="shared" si="205"/>
        <v>672.9</v>
      </c>
      <c r="BZ48" s="99">
        <f t="shared" si="205"/>
        <v>4691</v>
      </c>
      <c r="CA48" s="99">
        <f t="shared" si="205"/>
        <v>0</v>
      </c>
      <c r="CB48" s="99">
        <f t="shared" si="205"/>
        <v>0</v>
      </c>
      <c r="CC48" s="99">
        <f t="shared" si="205"/>
        <v>1929</v>
      </c>
      <c r="CD48" s="99">
        <f t="shared" si="205"/>
        <v>266.2</v>
      </c>
      <c r="CE48" s="99">
        <f t="shared" si="205"/>
        <v>1023.4</v>
      </c>
      <c r="CF48" s="99">
        <f t="shared" si="205"/>
        <v>0</v>
      </c>
      <c r="CG48" s="99">
        <f t="shared" si="205"/>
        <v>125</v>
      </c>
      <c r="CH48" s="99">
        <f t="shared" si="205"/>
        <v>548.40000000000009</v>
      </c>
      <c r="CI48" s="99">
        <f t="shared" si="205"/>
        <v>195</v>
      </c>
      <c r="CJ48" s="99">
        <f t="shared" si="205"/>
        <v>1653.4</v>
      </c>
      <c r="CK48" s="99">
        <f t="shared" si="205"/>
        <v>219.9</v>
      </c>
      <c r="CL48" s="99">
        <f t="shared" si="205"/>
        <v>0</v>
      </c>
      <c r="CM48" s="99">
        <f t="shared" ref="CM48:DR48" si="206">SUM(CM49:CM51)</f>
        <v>829.5</v>
      </c>
      <c r="CN48" s="99">
        <f t="shared" si="206"/>
        <v>755.4</v>
      </c>
      <c r="CO48" s="99">
        <f t="shared" si="206"/>
        <v>0</v>
      </c>
      <c r="CP48" s="99">
        <f t="shared" si="206"/>
        <v>569</v>
      </c>
      <c r="CQ48" s="99">
        <f t="shared" si="206"/>
        <v>352.8</v>
      </c>
      <c r="CR48" s="99">
        <f t="shared" si="206"/>
        <v>0</v>
      </c>
      <c r="CS48" s="99">
        <f t="shared" si="206"/>
        <v>564207.9</v>
      </c>
      <c r="CT48" s="99">
        <f t="shared" si="206"/>
        <v>674.8</v>
      </c>
      <c r="CU48" s="99">
        <f t="shared" si="206"/>
        <v>45767.3</v>
      </c>
      <c r="CV48" s="99">
        <f t="shared" si="206"/>
        <v>3950.3</v>
      </c>
      <c r="CW48" s="99">
        <f t="shared" si="206"/>
        <v>932.3</v>
      </c>
      <c r="CX48" s="99">
        <f t="shared" si="206"/>
        <v>3027.2000000000003</v>
      </c>
      <c r="CY48" s="99">
        <f t="shared" si="206"/>
        <v>0</v>
      </c>
      <c r="CZ48" s="99">
        <f t="shared" si="206"/>
        <v>37</v>
      </c>
      <c r="DA48" s="99">
        <f t="shared" si="206"/>
        <v>39457.9</v>
      </c>
      <c r="DB48" s="99">
        <f t="shared" si="206"/>
        <v>9338.6</v>
      </c>
      <c r="DC48" s="99">
        <f t="shared" si="206"/>
        <v>460</v>
      </c>
      <c r="DD48" s="99">
        <f t="shared" si="206"/>
        <v>0</v>
      </c>
      <c r="DE48" s="99">
        <f t="shared" si="206"/>
        <v>0</v>
      </c>
      <c r="DF48" s="99">
        <f t="shared" si="206"/>
        <v>344.7</v>
      </c>
      <c r="DG48" s="99">
        <f t="shared" si="206"/>
        <v>263</v>
      </c>
      <c r="DH48" s="99">
        <f t="shared" si="206"/>
        <v>0</v>
      </c>
      <c r="DI48" s="99">
        <f t="shared" si="206"/>
        <v>6387.4</v>
      </c>
      <c r="DJ48" s="99">
        <f t="shared" si="206"/>
        <v>126</v>
      </c>
      <c r="DK48" s="99">
        <f t="shared" si="206"/>
        <v>0</v>
      </c>
      <c r="DL48" s="99">
        <f t="shared" si="206"/>
        <v>363.4</v>
      </c>
      <c r="DM48" s="99">
        <f t="shared" si="206"/>
        <v>250.9</v>
      </c>
      <c r="DN48" s="99">
        <f t="shared" si="206"/>
        <v>0</v>
      </c>
      <c r="DO48" s="99">
        <f t="shared" si="206"/>
        <v>314.5</v>
      </c>
      <c r="DP48" s="99">
        <f t="shared" si="206"/>
        <v>2633.6</v>
      </c>
      <c r="DQ48" s="99">
        <f t="shared" si="206"/>
        <v>282.10000000000002</v>
      </c>
      <c r="DR48" s="99">
        <f t="shared" si="206"/>
        <v>183</v>
      </c>
      <c r="DS48" s="99">
        <f t="shared" ref="DS48:EV48" si="207">SUM(DS49:DS51)</f>
        <v>324.2</v>
      </c>
      <c r="DT48" s="99">
        <f t="shared" si="207"/>
        <v>2865.8</v>
      </c>
      <c r="DU48" s="99">
        <f t="shared" si="207"/>
        <v>5277</v>
      </c>
      <c r="DV48" s="99">
        <f t="shared" si="207"/>
        <v>455.8</v>
      </c>
      <c r="DW48" s="99">
        <f t="shared" si="207"/>
        <v>11508.8</v>
      </c>
      <c r="DX48" s="102">
        <f t="shared" si="207"/>
        <v>20.9</v>
      </c>
      <c r="DY48" s="99">
        <f t="shared" si="207"/>
        <v>0</v>
      </c>
      <c r="DZ48" s="99">
        <f t="shared" si="207"/>
        <v>0</v>
      </c>
      <c r="EA48" s="99">
        <f t="shared" si="207"/>
        <v>0</v>
      </c>
      <c r="EB48" s="99">
        <f t="shared" si="207"/>
        <v>0</v>
      </c>
      <c r="EC48" s="99">
        <f t="shared" si="207"/>
        <v>0</v>
      </c>
      <c r="ED48" s="99">
        <f t="shared" si="207"/>
        <v>260.7</v>
      </c>
      <c r="EE48" s="99">
        <f t="shared" si="207"/>
        <v>247.6</v>
      </c>
      <c r="EF48" s="99">
        <f t="shared" si="207"/>
        <v>0</v>
      </c>
      <c r="EG48" s="99">
        <f t="shared" si="207"/>
        <v>11446.2</v>
      </c>
      <c r="EH48" s="99">
        <f t="shared" si="207"/>
        <v>2093.1999999999998</v>
      </c>
      <c r="EI48" s="99">
        <f t="shared" si="207"/>
        <v>24683.899999999998</v>
      </c>
      <c r="EJ48" s="99">
        <f t="shared" si="207"/>
        <v>0</v>
      </c>
      <c r="EK48" s="99">
        <f>SUM(EK49:EK51)</f>
        <v>177.8</v>
      </c>
      <c r="EL48" s="99">
        <f t="shared" si="207"/>
        <v>214.1</v>
      </c>
      <c r="EM48" s="99">
        <f t="shared" si="207"/>
        <v>0</v>
      </c>
      <c r="EN48" s="99">
        <f t="shared" si="207"/>
        <v>0</v>
      </c>
      <c r="EO48" s="99">
        <f t="shared" si="207"/>
        <v>0</v>
      </c>
      <c r="EP48" s="99">
        <f t="shared" si="207"/>
        <v>0</v>
      </c>
      <c r="EQ48" s="99">
        <f t="shared" si="207"/>
        <v>805.2</v>
      </c>
      <c r="ER48" s="99">
        <f t="shared" si="207"/>
        <v>9058.8000000000011</v>
      </c>
      <c r="ES48" s="99">
        <f t="shared" si="207"/>
        <v>0</v>
      </c>
      <c r="ET48" s="99">
        <f t="shared" si="207"/>
        <v>0</v>
      </c>
      <c r="EU48" s="99">
        <f t="shared" si="207"/>
        <v>131</v>
      </c>
      <c r="EV48" s="99">
        <f t="shared" si="207"/>
        <v>0</v>
      </c>
      <c r="EW48" s="99">
        <f t="shared" ref="EW48:OV48" si="208">SUM(EW49:EW51)</f>
        <v>55</v>
      </c>
      <c r="EX48" s="99">
        <f t="shared" si="208"/>
        <v>118.3</v>
      </c>
      <c r="EY48" s="99">
        <f t="shared" si="208"/>
        <v>50.9</v>
      </c>
      <c r="EZ48" s="99">
        <f>SUM(EZ49:EZ51)</f>
        <v>67.599999999999994</v>
      </c>
      <c r="FA48" s="99">
        <f>SUM(FA49:FA51)</f>
        <v>115</v>
      </c>
      <c r="FB48" s="99">
        <f>SUM(FB49:FB51)</f>
        <v>164</v>
      </c>
      <c r="FC48" s="99">
        <f>SUM(FC49:FC51)</f>
        <v>165.3</v>
      </c>
      <c r="FD48" s="99">
        <f t="shared" si="208"/>
        <v>225</v>
      </c>
      <c r="FE48" s="99">
        <f t="shared" si="208"/>
        <v>544.70000000000005</v>
      </c>
      <c r="FF48" s="99">
        <f t="shared" ref="FF48:GR48" si="209">SUM(FF49:FF51)</f>
        <v>2423.3000000000002</v>
      </c>
      <c r="FG48" s="99">
        <f t="shared" si="209"/>
        <v>13388.6</v>
      </c>
      <c r="FH48" s="99">
        <f t="shared" si="209"/>
        <v>1273.3</v>
      </c>
      <c r="FI48" s="99">
        <f t="shared" si="209"/>
        <v>260.5</v>
      </c>
      <c r="FJ48" s="99">
        <f t="shared" si="209"/>
        <v>151.80000000000001</v>
      </c>
      <c r="FK48" s="99">
        <f t="shared" si="209"/>
        <v>0</v>
      </c>
      <c r="FL48" s="99">
        <f t="shared" si="209"/>
        <v>0</v>
      </c>
      <c r="FM48" s="99">
        <f t="shared" si="209"/>
        <v>24</v>
      </c>
      <c r="FN48" s="99">
        <f t="shared" si="209"/>
        <v>0</v>
      </c>
      <c r="FO48" s="99">
        <f t="shared" si="209"/>
        <v>107.4</v>
      </c>
      <c r="FP48" s="99">
        <f t="shared" si="209"/>
        <v>496</v>
      </c>
      <c r="FQ48" s="99">
        <f t="shared" si="209"/>
        <v>0</v>
      </c>
      <c r="FR48" s="99">
        <f t="shared" si="209"/>
        <v>0</v>
      </c>
      <c r="FS48" s="99">
        <f t="shared" si="209"/>
        <v>165</v>
      </c>
      <c r="FT48" s="99">
        <f t="shared" si="209"/>
        <v>91.600000000000009</v>
      </c>
      <c r="FU48" s="99">
        <f t="shared" si="209"/>
        <v>0</v>
      </c>
      <c r="FV48" s="99">
        <f t="shared" si="209"/>
        <v>887</v>
      </c>
      <c r="FW48" s="99">
        <f t="shared" si="209"/>
        <v>0</v>
      </c>
      <c r="FX48" s="99">
        <f t="shared" si="209"/>
        <v>0</v>
      </c>
      <c r="FY48" s="99">
        <f t="shared" si="209"/>
        <v>0</v>
      </c>
      <c r="FZ48" s="99">
        <f t="shared" si="209"/>
        <v>0</v>
      </c>
      <c r="GA48" s="99">
        <f t="shared" si="209"/>
        <v>359</v>
      </c>
      <c r="GB48" s="99">
        <f t="shared" si="209"/>
        <v>7637</v>
      </c>
      <c r="GC48" s="99">
        <f t="shared" si="209"/>
        <v>284</v>
      </c>
      <c r="GD48" s="99">
        <f t="shared" si="209"/>
        <v>466.90000000000003</v>
      </c>
      <c r="GE48" s="99">
        <f t="shared" si="209"/>
        <v>0</v>
      </c>
      <c r="GF48" s="99">
        <f t="shared" si="209"/>
        <v>118.8</v>
      </c>
      <c r="GG48" s="99">
        <f t="shared" si="209"/>
        <v>185.8</v>
      </c>
      <c r="GH48" s="99">
        <f t="shared" si="209"/>
        <v>8221.7000000000007</v>
      </c>
      <c r="GI48" s="99">
        <f t="shared" si="209"/>
        <v>67160.2</v>
      </c>
      <c r="GJ48" s="99">
        <f t="shared" si="209"/>
        <v>822.3</v>
      </c>
      <c r="GK48" s="99">
        <f t="shared" si="209"/>
        <v>25</v>
      </c>
      <c r="GL48" s="99">
        <f t="shared" si="209"/>
        <v>0</v>
      </c>
      <c r="GM48" s="99">
        <f t="shared" si="209"/>
        <v>238.8</v>
      </c>
      <c r="GN48" s="99">
        <f t="shared" si="209"/>
        <v>491.8</v>
      </c>
      <c r="GO48" s="99">
        <f t="shared" si="209"/>
        <v>1476.1</v>
      </c>
      <c r="GP48" s="99">
        <f t="shared" si="209"/>
        <v>0</v>
      </c>
      <c r="GQ48" s="99">
        <f t="shared" si="209"/>
        <v>0</v>
      </c>
      <c r="GR48" s="99">
        <f t="shared" si="209"/>
        <v>710</v>
      </c>
      <c r="GS48" s="99">
        <f t="shared" si="208"/>
        <v>0</v>
      </c>
      <c r="GT48" s="99">
        <f t="shared" ref="GT48:HG48" si="210">SUM(GT49:GT51)</f>
        <v>0</v>
      </c>
      <c r="GU48" s="99">
        <f t="shared" si="210"/>
        <v>418.1</v>
      </c>
      <c r="GV48" s="99">
        <f t="shared" si="210"/>
        <v>70</v>
      </c>
      <c r="GW48" s="99">
        <f t="shared" si="210"/>
        <v>0</v>
      </c>
      <c r="GX48" s="99">
        <f t="shared" si="210"/>
        <v>532</v>
      </c>
      <c r="GY48" s="99">
        <f t="shared" si="210"/>
        <v>0</v>
      </c>
      <c r="GZ48" s="99">
        <f t="shared" si="210"/>
        <v>0</v>
      </c>
      <c r="HA48" s="99">
        <f t="shared" si="210"/>
        <v>750.90000000000009</v>
      </c>
      <c r="HB48" s="99">
        <f t="shared" si="210"/>
        <v>189.5</v>
      </c>
      <c r="HC48" s="99">
        <f t="shared" si="210"/>
        <v>0</v>
      </c>
      <c r="HD48" s="99">
        <f t="shared" si="210"/>
        <v>0</v>
      </c>
      <c r="HE48" s="99">
        <f t="shared" si="210"/>
        <v>135.4</v>
      </c>
      <c r="HF48" s="99">
        <f t="shared" si="210"/>
        <v>32</v>
      </c>
      <c r="HG48" s="99">
        <f t="shared" si="210"/>
        <v>0</v>
      </c>
      <c r="HH48" s="99">
        <f t="shared" si="208"/>
        <v>0</v>
      </c>
      <c r="HI48" s="99">
        <f t="shared" ref="HI48:IN48" si="211">SUM(HI49:HI51)</f>
        <v>699</v>
      </c>
      <c r="HJ48" s="99">
        <f t="shared" si="211"/>
        <v>375</v>
      </c>
      <c r="HK48" s="99">
        <f t="shared" si="211"/>
        <v>0</v>
      </c>
      <c r="HL48" s="99">
        <f t="shared" si="211"/>
        <v>0</v>
      </c>
      <c r="HM48" s="99">
        <f t="shared" si="211"/>
        <v>37607.4</v>
      </c>
      <c r="HN48" s="99">
        <f t="shared" si="211"/>
        <v>44209.3</v>
      </c>
      <c r="HO48" s="99">
        <f t="shared" si="211"/>
        <v>318.90000000000003</v>
      </c>
      <c r="HP48" s="99">
        <f t="shared" si="211"/>
        <v>0</v>
      </c>
      <c r="HQ48" s="99">
        <f t="shared" si="211"/>
        <v>0</v>
      </c>
      <c r="HR48" s="99">
        <f t="shared" si="211"/>
        <v>0</v>
      </c>
      <c r="HS48" s="99">
        <f t="shared" si="211"/>
        <v>454</v>
      </c>
      <c r="HT48" s="99">
        <f t="shared" si="211"/>
        <v>16425.8</v>
      </c>
      <c r="HU48" s="99">
        <f t="shared" si="211"/>
        <v>0</v>
      </c>
      <c r="HV48" s="99">
        <f t="shared" si="211"/>
        <v>2157</v>
      </c>
      <c r="HW48" s="99">
        <f t="shared" si="211"/>
        <v>2264.8000000000002</v>
      </c>
      <c r="HX48" s="99">
        <f t="shared" si="211"/>
        <v>0</v>
      </c>
      <c r="HY48" s="99">
        <f t="shared" si="211"/>
        <v>7656.7</v>
      </c>
      <c r="HZ48" s="99">
        <f t="shared" si="211"/>
        <v>0</v>
      </c>
      <c r="IA48" s="99">
        <f t="shared" si="211"/>
        <v>216</v>
      </c>
      <c r="IB48" s="99">
        <f t="shared" si="211"/>
        <v>329</v>
      </c>
      <c r="IC48" s="99">
        <f t="shared" si="211"/>
        <v>1230.7</v>
      </c>
      <c r="ID48" s="99">
        <f t="shared" si="211"/>
        <v>1074</v>
      </c>
      <c r="IE48" s="99">
        <f t="shared" si="211"/>
        <v>0</v>
      </c>
      <c r="IF48" s="99">
        <f t="shared" si="211"/>
        <v>52.5</v>
      </c>
      <c r="IG48" s="99">
        <f t="shared" si="211"/>
        <v>0</v>
      </c>
      <c r="IH48" s="99">
        <f t="shared" si="211"/>
        <v>151.5</v>
      </c>
      <c r="II48" s="99">
        <f t="shared" si="211"/>
        <v>0</v>
      </c>
      <c r="IJ48" s="99">
        <f t="shared" si="211"/>
        <v>7102.2</v>
      </c>
      <c r="IK48" s="99">
        <f t="shared" si="211"/>
        <v>0</v>
      </c>
      <c r="IL48" s="99">
        <f t="shared" si="211"/>
        <v>90</v>
      </c>
      <c r="IM48" s="99">
        <f t="shared" si="211"/>
        <v>837.4</v>
      </c>
      <c r="IN48" s="99">
        <f t="shared" si="211"/>
        <v>32</v>
      </c>
      <c r="IO48" s="99">
        <f t="shared" ref="IO48:JT48" si="212">SUM(IO49:IO51)</f>
        <v>0</v>
      </c>
      <c r="IP48" s="99">
        <f t="shared" si="212"/>
        <v>0</v>
      </c>
      <c r="IQ48" s="99">
        <f t="shared" si="212"/>
        <v>0</v>
      </c>
      <c r="IR48" s="99">
        <f t="shared" si="212"/>
        <v>12461.3</v>
      </c>
      <c r="IS48" s="99">
        <f t="shared" si="212"/>
        <v>0</v>
      </c>
      <c r="IT48" s="99">
        <f t="shared" si="212"/>
        <v>4327.8</v>
      </c>
      <c r="IU48" s="99">
        <f t="shared" si="212"/>
        <v>1067.5</v>
      </c>
      <c r="IV48" s="99">
        <f t="shared" si="212"/>
        <v>2387.1</v>
      </c>
      <c r="IW48" s="99">
        <f t="shared" si="212"/>
        <v>0</v>
      </c>
      <c r="IX48" s="99">
        <f t="shared" si="212"/>
        <v>135</v>
      </c>
      <c r="IY48" s="99">
        <f t="shared" si="212"/>
        <v>486.5</v>
      </c>
      <c r="IZ48" s="99">
        <f t="shared" si="212"/>
        <v>0</v>
      </c>
      <c r="JA48" s="99">
        <f t="shared" si="212"/>
        <v>119</v>
      </c>
      <c r="JB48" s="99">
        <f t="shared" si="212"/>
        <v>447.8</v>
      </c>
      <c r="JC48" s="99">
        <f t="shared" si="212"/>
        <v>187.20000000000002</v>
      </c>
      <c r="JD48" s="99">
        <f t="shared" si="212"/>
        <v>11757.4</v>
      </c>
      <c r="JE48" s="99">
        <f t="shared" si="212"/>
        <v>0</v>
      </c>
      <c r="JF48" s="99">
        <f t="shared" si="212"/>
        <v>2583.1999999999998</v>
      </c>
      <c r="JG48" s="99">
        <f t="shared" si="212"/>
        <v>11589.800000000001</v>
      </c>
      <c r="JH48" s="99">
        <f t="shared" si="212"/>
        <v>424.3</v>
      </c>
      <c r="JI48" s="99">
        <f t="shared" si="212"/>
        <v>2400.6999999999998</v>
      </c>
      <c r="JJ48" s="99">
        <f t="shared" si="212"/>
        <v>0</v>
      </c>
      <c r="JK48" s="99">
        <f t="shared" si="212"/>
        <v>6764.4</v>
      </c>
      <c r="JL48" s="99">
        <f t="shared" si="212"/>
        <v>0</v>
      </c>
      <c r="JM48" s="99">
        <f t="shared" si="212"/>
        <v>114.5</v>
      </c>
      <c r="JN48" s="99">
        <f t="shared" si="212"/>
        <v>0</v>
      </c>
      <c r="JO48" s="99">
        <f t="shared" si="212"/>
        <v>0</v>
      </c>
      <c r="JP48" s="99">
        <f t="shared" si="212"/>
        <v>0</v>
      </c>
      <c r="JQ48" s="99">
        <f t="shared" si="212"/>
        <v>0</v>
      </c>
      <c r="JR48" s="99">
        <f t="shared" si="212"/>
        <v>0</v>
      </c>
      <c r="JS48" s="99">
        <f t="shared" si="212"/>
        <v>0</v>
      </c>
      <c r="JT48" s="99">
        <f t="shared" si="212"/>
        <v>621.9</v>
      </c>
      <c r="JU48" s="99">
        <f t="shared" ref="JU48:KZ48" si="213">SUM(JU49:JU51)</f>
        <v>0</v>
      </c>
      <c r="JV48" s="99">
        <f t="shared" si="213"/>
        <v>173</v>
      </c>
      <c r="JW48" s="99">
        <f t="shared" si="213"/>
        <v>4311.3</v>
      </c>
      <c r="JX48" s="99">
        <f t="shared" si="213"/>
        <v>647.5</v>
      </c>
      <c r="JY48" s="99">
        <f t="shared" si="213"/>
        <v>0</v>
      </c>
      <c r="JZ48" s="99">
        <f t="shared" si="213"/>
        <v>2383.4</v>
      </c>
      <c r="KA48" s="99">
        <f t="shared" si="213"/>
        <v>2339.1</v>
      </c>
      <c r="KB48" s="99">
        <f t="shared" si="213"/>
        <v>0</v>
      </c>
      <c r="KC48" s="99">
        <f t="shared" si="213"/>
        <v>1087</v>
      </c>
      <c r="KD48" s="99">
        <f t="shared" si="213"/>
        <v>0</v>
      </c>
      <c r="KE48" s="99">
        <f t="shared" si="213"/>
        <v>0</v>
      </c>
      <c r="KF48" s="99">
        <f t="shared" si="213"/>
        <v>0</v>
      </c>
      <c r="KG48" s="99">
        <f t="shared" si="213"/>
        <v>0</v>
      </c>
      <c r="KH48" s="99">
        <f t="shared" si="213"/>
        <v>0</v>
      </c>
      <c r="KI48" s="99">
        <f t="shared" si="213"/>
        <v>163</v>
      </c>
      <c r="KJ48" s="99">
        <f t="shared" si="213"/>
        <v>37131.299999999996</v>
      </c>
      <c r="KK48" s="99">
        <f t="shared" si="213"/>
        <v>150</v>
      </c>
      <c r="KL48" s="99">
        <f t="shared" si="213"/>
        <v>0</v>
      </c>
      <c r="KM48" s="99">
        <f t="shared" si="213"/>
        <v>44</v>
      </c>
      <c r="KN48" s="99">
        <f t="shared" si="213"/>
        <v>249.1</v>
      </c>
      <c r="KO48" s="99">
        <f t="shared" si="213"/>
        <v>103.4</v>
      </c>
      <c r="KP48" s="99">
        <f t="shared" si="213"/>
        <v>0</v>
      </c>
      <c r="KQ48" s="99">
        <f t="shared" si="213"/>
        <v>0</v>
      </c>
      <c r="KR48" s="99">
        <f t="shared" si="213"/>
        <v>112592.90000000001</v>
      </c>
      <c r="KS48" s="99">
        <f t="shared" si="213"/>
        <v>2863.4</v>
      </c>
      <c r="KT48" s="99">
        <f t="shared" si="213"/>
        <v>0</v>
      </c>
      <c r="KU48" s="99">
        <f t="shared" si="213"/>
        <v>3621.4</v>
      </c>
      <c r="KV48" s="99">
        <f t="shared" si="213"/>
        <v>3702.8</v>
      </c>
      <c r="KW48" s="99">
        <f t="shared" si="213"/>
        <v>1000</v>
      </c>
      <c r="KX48" s="99">
        <f t="shared" si="213"/>
        <v>23129.7</v>
      </c>
      <c r="KY48" s="99">
        <f t="shared" si="213"/>
        <v>135</v>
      </c>
      <c r="KZ48" s="99">
        <f t="shared" si="213"/>
        <v>0</v>
      </c>
      <c r="LA48" s="99">
        <f t="shared" ref="LA48:OT48" si="214">SUM(LA49:LA51)</f>
        <v>1932.8</v>
      </c>
      <c r="LB48" s="99">
        <f t="shared" si="214"/>
        <v>348</v>
      </c>
      <c r="LC48" s="99">
        <f t="shared" ref="LC48:LJ48" si="215">SUM(LC49:LC51)</f>
        <v>0</v>
      </c>
      <c r="LD48" s="99">
        <f t="shared" si="215"/>
        <v>0</v>
      </c>
      <c r="LE48" s="99">
        <f t="shared" si="215"/>
        <v>0</v>
      </c>
      <c r="LF48" s="99">
        <f t="shared" si="215"/>
        <v>0</v>
      </c>
      <c r="LG48" s="99">
        <f t="shared" si="215"/>
        <v>0</v>
      </c>
      <c r="LH48" s="99">
        <f t="shared" si="215"/>
        <v>0</v>
      </c>
      <c r="LI48" s="99">
        <f t="shared" si="215"/>
        <v>470</v>
      </c>
      <c r="LJ48" s="99">
        <f t="shared" si="215"/>
        <v>0</v>
      </c>
      <c r="LK48" s="99">
        <f t="shared" ref="LK48:LQ48" si="216">SUM(LK49:LK51)</f>
        <v>348</v>
      </c>
      <c r="LL48" s="99">
        <f t="shared" si="216"/>
        <v>541.6</v>
      </c>
      <c r="LM48" s="99">
        <f>SUM(LM49:LM51)</f>
        <v>0</v>
      </c>
      <c r="LN48" s="99">
        <f>SUM(LN49:LN51)</f>
        <v>0</v>
      </c>
      <c r="LO48" s="99">
        <f t="shared" si="216"/>
        <v>585</v>
      </c>
      <c r="LP48" s="99">
        <f t="shared" si="216"/>
        <v>4328.2</v>
      </c>
      <c r="LQ48" s="99">
        <f t="shared" si="216"/>
        <v>7867.4</v>
      </c>
      <c r="LR48" s="99">
        <f t="shared" ref="LR48:MW48" si="217">SUM(LR49:LR51)</f>
        <v>141.1</v>
      </c>
      <c r="LS48" s="99">
        <f t="shared" si="217"/>
        <v>0</v>
      </c>
      <c r="LT48" s="99">
        <f t="shared" si="217"/>
        <v>222.2</v>
      </c>
      <c r="LU48" s="99">
        <f t="shared" si="217"/>
        <v>0</v>
      </c>
      <c r="LV48" s="99">
        <f t="shared" si="217"/>
        <v>30834.1</v>
      </c>
      <c r="LW48" s="99">
        <f t="shared" si="217"/>
        <v>6994.9</v>
      </c>
      <c r="LX48" s="99">
        <f t="shared" si="217"/>
        <v>2</v>
      </c>
      <c r="LY48" s="99">
        <f t="shared" si="217"/>
        <v>35</v>
      </c>
      <c r="LZ48" s="99">
        <f t="shared" si="217"/>
        <v>0</v>
      </c>
      <c r="MA48" s="99">
        <f t="shared" si="217"/>
        <v>0</v>
      </c>
      <c r="MB48" s="99">
        <f t="shared" si="217"/>
        <v>24</v>
      </c>
      <c r="MC48" s="99">
        <f t="shared" si="217"/>
        <v>369.8</v>
      </c>
      <c r="MD48" s="99">
        <f t="shared" si="217"/>
        <v>754.5</v>
      </c>
      <c r="ME48" s="99">
        <f t="shared" si="217"/>
        <v>0</v>
      </c>
      <c r="MF48" s="99">
        <f t="shared" si="217"/>
        <v>0</v>
      </c>
      <c r="MG48" s="99">
        <f t="shared" si="217"/>
        <v>0</v>
      </c>
      <c r="MH48" s="99">
        <f t="shared" si="217"/>
        <v>152.70000000000002</v>
      </c>
      <c r="MI48" s="99">
        <f t="shared" si="217"/>
        <v>55</v>
      </c>
      <c r="MJ48" s="99">
        <f t="shared" si="217"/>
        <v>100</v>
      </c>
      <c r="MK48" s="99">
        <f t="shared" si="217"/>
        <v>404</v>
      </c>
      <c r="ML48" s="99">
        <f t="shared" si="217"/>
        <v>136</v>
      </c>
      <c r="MM48" s="99">
        <f t="shared" si="217"/>
        <v>1420.1</v>
      </c>
      <c r="MN48" s="99">
        <f t="shared" si="217"/>
        <v>0</v>
      </c>
      <c r="MO48" s="99">
        <f t="shared" si="217"/>
        <v>0</v>
      </c>
      <c r="MP48" s="99">
        <f t="shared" si="217"/>
        <v>80</v>
      </c>
      <c r="MQ48" s="99">
        <f t="shared" si="217"/>
        <v>96.8</v>
      </c>
      <c r="MR48" s="99">
        <f t="shared" si="217"/>
        <v>582</v>
      </c>
      <c r="MS48" s="99">
        <f t="shared" si="217"/>
        <v>0</v>
      </c>
      <c r="MT48" s="99">
        <f t="shared" si="217"/>
        <v>0</v>
      </c>
      <c r="MU48" s="99">
        <f t="shared" si="217"/>
        <v>0</v>
      </c>
      <c r="MV48" s="99">
        <f t="shared" si="217"/>
        <v>0</v>
      </c>
      <c r="MW48" s="99">
        <f t="shared" si="217"/>
        <v>647</v>
      </c>
      <c r="MX48" s="99">
        <f t="shared" ref="MX48:OC48" si="218">SUM(MX49:MX51)</f>
        <v>183</v>
      </c>
      <c r="MY48" s="99">
        <f t="shared" si="218"/>
        <v>16</v>
      </c>
      <c r="MZ48" s="99">
        <f t="shared" si="218"/>
        <v>0</v>
      </c>
      <c r="NA48" s="99">
        <f t="shared" si="218"/>
        <v>378.3</v>
      </c>
      <c r="NB48" s="99">
        <f t="shared" si="218"/>
        <v>156</v>
      </c>
      <c r="NC48" s="99">
        <f t="shared" si="218"/>
        <v>0</v>
      </c>
      <c r="ND48" s="99">
        <f t="shared" si="218"/>
        <v>0</v>
      </c>
      <c r="NE48" s="99">
        <f t="shared" si="218"/>
        <v>0</v>
      </c>
      <c r="NF48" s="99">
        <f t="shared" si="218"/>
        <v>35730.6</v>
      </c>
      <c r="NG48" s="99">
        <f t="shared" si="218"/>
        <v>31.8</v>
      </c>
      <c r="NH48" s="99">
        <f t="shared" si="218"/>
        <v>53.6</v>
      </c>
      <c r="NI48" s="99">
        <f t="shared" si="218"/>
        <v>293.40000000000003</v>
      </c>
      <c r="NJ48" s="99">
        <f t="shared" si="218"/>
        <v>0</v>
      </c>
      <c r="NK48" s="99">
        <f t="shared" si="218"/>
        <v>10622.4</v>
      </c>
      <c r="NL48" s="99">
        <f t="shared" si="218"/>
        <v>69</v>
      </c>
      <c r="NM48" s="99">
        <f t="shared" si="218"/>
        <v>700.5</v>
      </c>
      <c r="NN48" s="99">
        <f t="shared" si="218"/>
        <v>463.1</v>
      </c>
      <c r="NO48" s="99">
        <f t="shared" si="218"/>
        <v>41.6</v>
      </c>
      <c r="NP48" s="99">
        <f t="shared" si="218"/>
        <v>0</v>
      </c>
      <c r="NQ48" s="99">
        <f t="shared" si="218"/>
        <v>0</v>
      </c>
      <c r="NR48" s="99">
        <f t="shared" si="218"/>
        <v>215.8</v>
      </c>
      <c r="NS48" s="99">
        <f t="shared" si="218"/>
        <v>0</v>
      </c>
      <c r="NT48" s="99">
        <f t="shared" si="218"/>
        <v>278.10000000000002</v>
      </c>
      <c r="NU48" s="99">
        <f t="shared" si="218"/>
        <v>0</v>
      </c>
      <c r="NV48" s="99">
        <f t="shared" si="218"/>
        <v>210.20000000000002</v>
      </c>
      <c r="NW48" s="99">
        <f t="shared" si="218"/>
        <v>28</v>
      </c>
      <c r="NX48" s="99">
        <f t="shared" si="218"/>
        <v>0</v>
      </c>
      <c r="NY48" s="99">
        <f t="shared" si="218"/>
        <v>657.6</v>
      </c>
      <c r="NZ48" s="99">
        <f t="shared" si="218"/>
        <v>0</v>
      </c>
      <c r="OA48" s="99">
        <f t="shared" si="218"/>
        <v>0</v>
      </c>
      <c r="OB48" s="99">
        <f t="shared" si="218"/>
        <v>0</v>
      </c>
      <c r="OC48" s="99">
        <f t="shared" si="218"/>
        <v>29804.3</v>
      </c>
      <c r="OD48" s="99">
        <f t="shared" ref="OD48:OG48" si="219">SUM(OD49:OD51)</f>
        <v>0</v>
      </c>
      <c r="OE48" s="99">
        <f t="shared" si="219"/>
        <v>210.1</v>
      </c>
      <c r="OF48" s="99">
        <f t="shared" si="219"/>
        <v>893.4</v>
      </c>
      <c r="OG48" s="99">
        <f t="shared" si="219"/>
        <v>468.6</v>
      </c>
      <c r="OH48" s="99">
        <f t="shared" si="214"/>
        <v>372.7</v>
      </c>
      <c r="OI48" s="99">
        <f t="shared" si="214"/>
        <v>720</v>
      </c>
      <c r="OJ48" s="99">
        <f>SUM(OJ49:OJ51)</f>
        <v>5085</v>
      </c>
      <c r="OK48" s="99">
        <f>SUM(OK49:OK51)</f>
        <v>69.600000000000009</v>
      </c>
      <c r="OL48" s="99">
        <f t="shared" si="214"/>
        <v>7686.5</v>
      </c>
      <c r="OM48" s="99">
        <f t="shared" si="214"/>
        <v>20</v>
      </c>
      <c r="ON48" s="99">
        <f>SUM(ON49:ON51)</f>
        <v>0</v>
      </c>
      <c r="OO48" s="99">
        <f t="shared" si="214"/>
        <v>196.5</v>
      </c>
      <c r="OP48" s="99">
        <f t="shared" si="214"/>
        <v>3541.5</v>
      </c>
      <c r="OQ48" s="99">
        <f t="shared" si="214"/>
        <v>326.40000000000003</v>
      </c>
      <c r="OR48" s="99">
        <f t="shared" si="214"/>
        <v>270.39999999999998</v>
      </c>
      <c r="OS48" s="99">
        <f t="shared" si="214"/>
        <v>4767.3</v>
      </c>
      <c r="OT48" s="99">
        <f t="shared" si="214"/>
        <v>1494.8</v>
      </c>
      <c r="OU48" s="99">
        <f t="shared" si="208"/>
        <v>50.9</v>
      </c>
      <c r="OV48" s="99">
        <f t="shared" si="208"/>
        <v>401</v>
      </c>
      <c r="OW48" s="99">
        <f t="shared" ref="OW48:PH48" si="220">SUM(OW49:OW51)</f>
        <v>30</v>
      </c>
      <c r="OX48" s="99">
        <f t="shared" si="220"/>
        <v>123.1</v>
      </c>
      <c r="OY48" s="99">
        <f t="shared" si="220"/>
        <v>0</v>
      </c>
      <c r="OZ48" s="99">
        <f t="shared" si="220"/>
        <v>191227.4</v>
      </c>
      <c r="PA48" s="99">
        <f t="shared" si="220"/>
        <v>830.5</v>
      </c>
      <c r="PB48" s="99">
        <f>SUM(PB49:PB51)</f>
        <v>8822</v>
      </c>
      <c r="PC48" s="99">
        <f t="shared" si="220"/>
        <v>0</v>
      </c>
      <c r="PD48" s="99">
        <f>SUM(PD49:PD51)</f>
        <v>4.5</v>
      </c>
      <c r="PE48" s="99">
        <f t="shared" si="220"/>
        <v>0</v>
      </c>
      <c r="PF48" s="99">
        <f t="shared" si="220"/>
        <v>0</v>
      </c>
      <c r="PG48" s="99">
        <f t="shared" si="220"/>
        <v>471568.8</v>
      </c>
      <c r="PH48" s="99">
        <f t="shared" si="220"/>
        <v>1534.8</v>
      </c>
      <c r="PI48" s="99">
        <f>SUM(PI49:PI51)</f>
        <v>505.1</v>
      </c>
      <c r="PJ48" s="99">
        <f t="shared" ref="PJ48:QC48" si="221">SUM(PJ49:PJ51)</f>
        <v>1145.2</v>
      </c>
      <c r="PK48" s="99">
        <f t="shared" si="221"/>
        <v>245.5</v>
      </c>
      <c r="PL48" s="99">
        <f t="shared" si="221"/>
        <v>0</v>
      </c>
      <c r="PM48" s="99">
        <f t="shared" si="221"/>
        <v>0</v>
      </c>
      <c r="PN48" s="99">
        <f t="shared" ref="PN48:PS48" si="222">SUM(PN49:PN51)</f>
        <v>172</v>
      </c>
      <c r="PO48" s="99">
        <f t="shared" si="222"/>
        <v>1663.8</v>
      </c>
      <c r="PP48" s="99">
        <f t="shared" si="222"/>
        <v>371</v>
      </c>
      <c r="PQ48" s="99">
        <f t="shared" si="222"/>
        <v>610</v>
      </c>
      <c r="PR48" s="99">
        <f t="shared" si="222"/>
        <v>685</v>
      </c>
      <c r="PS48" s="99">
        <f t="shared" si="222"/>
        <v>859.90000000000009</v>
      </c>
      <c r="PT48" s="99">
        <f t="shared" si="221"/>
        <v>186</v>
      </c>
      <c r="PU48" s="99">
        <f>SUM(PU49:PU51)</f>
        <v>0.2</v>
      </c>
      <c r="PV48" s="99">
        <f t="shared" si="221"/>
        <v>110.4</v>
      </c>
      <c r="PW48" s="99">
        <f>SUM(PW49:PW51)</f>
        <v>9379.4</v>
      </c>
      <c r="PX48" s="99">
        <f>SUM(PX49:PX51)</f>
        <v>0</v>
      </c>
      <c r="PY48" s="99">
        <f>SUM(PY49:PY51)</f>
        <v>144</v>
      </c>
      <c r="PZ48" s="99">
        <f>SUM(PZ49:PZ51)</f>
        <v>174.5</v>
      </c>
      <c r="QA48" s="99">
        <f>SUM(QA49:QA51)</f>
        <v>0</v>
      </c>
      <c r="QB48" s="99">
        <f t="shared" si="221"/>
        <v>16</v>
      </c>
      <c r="QC48" s="99">
        <f t="shared" si="221"/>
        <v>4288.2000000000007</v>
      </c>
      <c r="QD48" s="99">
        <f>SUM(QD49:QD51)</f>
        <v>6333.9000000000005</v>
      </c>
      <c r="QE48" s="99">
        <f t="shared" ref="QE48:QJ48" si="223">SUM(QE49:QE51)</f>
        <v>6277.4000000000005</v>
      </c>
      <c r="QF48" s="99">
        <f t="shared" si="223"/>
        <v>110.2</v>
      </c>
      <c r="QG48" s="99">
        <f t="shared" si="223"/>
        <v>280</v>
      </c>
      <c r="QH48" s="99">
        <f t="shared" si="223"/>
        <v>0</v>
      </c>
      <c r="QI48" s="99">
        <f t="shared" si="223"/>
        <v>13176.2</v>
      </c>
      <c r="QJ48" s="99">
        <f t="shared" si="223"/>
        <v>1009.8000000000001</v>
      </c>
      <c r="QK48" s="99">
        <f>SUM(QK49:QK51)</f>
        <v>0</v>
      </c>
      <c r="QL48" s="99">
        <f t="shared" ref="QL48:QM48" si="224">SUM(QL49:QL51)</f>
        <v>203</v>
      </c>
      <c r="QM48" s="99">
        <f t="shared" si="224"/>
        <v>5964.8</v>
      </c>
      <c r="QN48" s="99">
        <f>SUM(QN49:QN51)</f>
        <v>10154.400000000001</v>
      </c>
      <c r="QO48" s="99">
        <f>SUM(QO49:QO51)</f>
        <v>8573.7999999999993</v>
      </c>
      <c r="QP48" s="99">
        <f t="shared" ref="QP48" si="225">SUM(QP49:QP51)</f>
        <v>844.4</v>
      </c>
      <c r="QQ48" s="99">
        <f>SUM(QQ49:QQ51)</f>
        <v>45550.399999999994</v>
      </c>
      <c r="QR48" s="99">
        <f>SUM(QR49:QR51)</f>
        <v>15557</v>
      </c>
      <c r="QS48" s="99">
        <f t="shared" ref="QS48:RM48" si="226">SUM(QS49:QS51)</f>
        <v>0</v>
      </c>
      <c r="QT48" s="99">
        <f>SUM(QT49:QT51)</f>
        <v>240</v>
      </c>
      <c r="QU48" s="99">
        <f>SUM(QU49:QU51)</f>
        <v>0</v>
      </c>
      <c r="QV48" s="99">
        <f t="shared" si="226"/>
        <v>0</v>
      </c>
      <c r="QW48" s="99">
        <f t="shared" si="226"/>
        <v>0</v>
      </c>
      <c r="QX48" s="99">
        <f t="shared" si="226"/>
        <v>0</v>
      </c>
      <c r="QY48" s="99">
        <f t="shared" si="226"/>
        <v>586.5</v>
      </c>
      <c r="QZ48" s="99">
        <f t="shared" si="226"/>
        <v>40</v>
      </c>
      <c r="RA48" s="99">
        <f t="shared" si="226"/>
        <v>48</v>
      </c>
      <c r="RB48" s="99">
        <f t="shared" si="226"/>
        <v>222</v>
      </c>
      <c r="RC48" s="99">
        <f t="shared" si="226"/>
        <v>150</v>
      </c>
      <c r="RD48" s="99">
        <f t="shared" si="226"/>
        <v>4903.5</v>
      </c>
      <c r="RE48" s="99">
        <f>SUM(RE49:RE51)</f>
        <v>0</v>
      </c>
      <c r="RF48" s="99">
        <f t="shared" si="226"/>
        <v>2376</v>
      </c>
      <c r="RG48" s="99">
        <f>SUM(RG49:RG51)</f>
        <v>135.30000000000001</v>
      </c>
      <c r="RH48" s="99">
        <f t="shared" si="226"/>
        <v>45</v>
      </c>
      <c r="RI48" s="99">
        <f t="shared" si="226"/>
        <v>132</v>
      </c>
      <c r="RJ48" s="99">
        <f>SUM(RJ49:RJ51)</f>
        <v>202</v>
      </c>
      <c r="RK48" s="99">
        <f t="shared" si="226"/>
        <v>45</v>
      </c>
      <c r="RL48" s="99">
        <f t="shared" si="226"/>
        <v>0</v>
      </c>
      <c r="RM48" s="99">
        <f t="shared" si="226"/>
        <v>0</v>
      </c>
      <c r="RN48" s="99">
        <f>SUM(RN49:RN51)</f>
        <v>0</v>
      </c>
    </row>
    <row r="49" spans="1:482" s="60" customFormat="1" ht="11.25" x14ac:dyDescent="0.2">
      <c r="A49" s="125" t="s">
        <v>787</v>
      </c>
      <c r="B49" s="104" t="s">
        <v>788</v>
      </c>
      <c r="C49" s="104"/>
      <c r="D49" s="116">
        <f>SUM(E49:RR49)</f>
        <v>3034728.1</v>
      </c>
      <c r="E49" s="114"/>
      <c r="F49" s="114">
        <v>271.3</v>
      </c>
      <c r="G49" s="114">
        <v>300</v>
      </c>
      <c r="H49" s="114">
        <v>43786.6</v>
      </c>
      <c r="I49" s="114">
        <v>348.7</v>
      </c>
      <c r="J49" s="114">
        <v>4999.7</v>
      </c>
      <c r="K49" s="114">
        <v>2193</v>
      </c>
      <c r="L49" s="114">
        <v>1958</v>
      </c>
      <c r="M49" s="114">
        <v>3205.2</v>
      </c>
      <c r="N49" s="114">
        <v>0.1</v>
      </c>
      <c r="O49" s="114">
        <v>0</v>
      </c>
      <c r="P49" s="114">
        <f>27993.6+9295.8</f>
        <v>37289.399999999994</v>
      </c>
      <c r="Q49" s="114">
        <v>0</v>
      </c>
      <c r="R49" s="114">
        <v>606</v>
      </c>
      <c r="S49" s="114">
        <v>0</v>
      </c>
      <c r="T49" s="114">
        <v>438</v>
      </c>
      <c r="U49" s="114">
        <v>0</v>
      </c>
      <c r="V49" s="114">
        <v>0</v>
      </c>
      <c r="W49" s="114">
        <v>200</v>
      </c>
      <c r="X49" s="114">
        <v>37218.9</v>
      </c>
      <c r="Y49" s="114">
        <v>1641.4</v>
      </c>
      <c r="Z49" s="114">
        <v>845</v>
      </c>
      <c r="AA49" s="114">
        <v>0</v>
      </c>
      <c r="AB49" s="114">
        <v>12585.5</v>
      </c>
      <c r="AC49" s="114">
        <v>10528.5</v>
      </c>
      <c r="AD49" s="114">
        <v>25885.9</v>
      </c>
      <c r="AE49" s="114">
        <v>1666366.7</v>
      </c>
      <c r="AF49" s="114">
        <v>5170.3</v>
      </c>
      <c r="AG49" s="114">
        <v>18522</v>
      </c>
      <c r="AH49" s="114"/>
      <c r="AI49" s="114">
        <v>397.7</v>
      </c>
      <c r="AJ49" s="114">
        <f>95179.8+143288.2</f>
        <v>238468</v>
      </c>
      <c r="AK49" s="114">
        <v>31161.8</v>
      </c>
      <c r="AL49" s="114">
        <v>0</v>
      </c>
      <c r="AM49" s="114">
        <v>0</v>
      </c>
      <c r="AN49" s="114">
        <v>589.70000000000005</v>
      </c>
      <c r="AO49" s="114">
        <v>3298.8</v>
      </c>
      <c r="AP49" s="114">
        <f>1718.7+23702.1+5539.6</f>
        <v>30960.400000000001</v>
      </c>
      <c r="AQ49" s="114">
        <v>32021.3</v>
      </c>
      <c r="AR49" s="114">
        <v>0</v>
      </c>
      <c r="AS49" s="114">
        <v>54</v>
      </c>
      <c r="AT49" s="114">
        <v>84358.7</v>
      </c>
      <c r="AU49" s="114">
        <v>0</v>
      </c>
      <c r="AV49" s="114"/>
      <c r="AW49" s="114">
        <v>49129.3</v>
      </c>
      <c r="AX49" s="114">
        <v>8587</v>
      </c>
      <c r="AY49" s="114">
        <v>8350.5</v>
      </c>
      <c r="AZ49" s="114">
        <v>4696</v>
      </c>
      <c r="BA49" s="114">
        <v>0</v>
      </c>
      <c r="BB49" s="114">
        <v>1570</v>
      </c>
      <c r="BC49" s="114">
        <v>3339.1</v>
      </c>
      <c r="BD49" s="114">
        <v>0</v>
      </c>
      <c r="BE49" s="114">
        <v>64000</v>
      </c>
      <c r="BF49" s="114">
        <v>0</v>
      </c>
      <c r="BG49" s="114">
        <v>0</v>
      </c>
      <c r="BH49" s="114">
        <v>1512</v>
      </c>
      <c r="BI49" s="114">
        <v>76.900000000000006</v>
      </c>
      <c r="BJ49" s="114">
        <v>0</v>
      </c>
      <c r="BK49" s="114" t="s">
        <v>941</v>
      </c>
      <c r="BL49" s="103">
        <v>0</v>
      </c>
      <c r="BM49" s="103">
        <v>0</v>
      </c>
      <c r="BN49" s="103">
        <v>0</v>
      </c>
      <c r="BO49" s="103">
        <v>0</v>
      </c>
      <c r="BP49" s="103">
        <v>11184.800000000001</v>
      </c>
      <c r="BQ49" s="103">
        <v>0</v>
      </c>
      <c r="BR49" s="103">
        <v>0</v>
      </c>
      <c r="BS49" s="103">
        <v>0</v>
      </c>
      <c r="BT49" s="103">
        <v>0</v>
      </c>
      <c r="BU49" s="103">
        <v>0</v>
      </c>
      <c r="BV49" s="103">
        <v>0</v>
      </c>
      <c r="BW49" s="103">
        <v>420</v>
      </c>
      <c r="BX49" s="103">
        <v>0</v>
      </c>
      <c r="BY49" s="103">
        <v>0</v>
      </c>
      <c r="BZ49" s="103">
        <v>4208.6000000000004</v>
      </c>
      <c r="CA49" s="103">
        <v>0</v>
      </c>
      <c r="CB49" s="103">
        <v>0</v>
      </c>
      <c r="CC49" s="103">
        <v>0</v>
      </c>
      <c r="CD49" s="103">
        <v>0</v>
      </c>
      <c r="CE49" s="103">
        <v>972</v>
      </c>
      <c r="CF49" s="103">
        <v>0</v>
      </c>
      <c r="CG49" s="103">
        <v>0</v>
      </c>
      <c r="CH49" s="103">
        <v>0</v>
      </c>
      <c r="CI49" s="103">
        <v>0</v>
      </c>
      <c r="CJ49" s="103">
        <v>0</v>
      </c>
      <c r="CK49" s="103">
        <v>0</v>
      </c>
      <c r="CL49" s="103">
        <v>0</v>
      </c>
      <c r="CM49" s="103">
        <v>0</v>
      </c>
      <c r="CN49" s="103">
        <v>0</v>
      </c>
      <c r="CO49" s="103">
        <v>0</v>
      </c>
      <c r="CP49" s="103">
        <v>0</v>
      </c>
      <c r="CQ49" s="103">
        <v>0</v>
      </c>
      <c r="CR49" s="103">
        <v>0</v>
      </c>
      <c r="CS49" s="103">
        <v>97673.2</v>
      </c>
      <c r="CT49" s="103"/>
      <c r="CU49" s="103"/>
      <c r="CV49" s="103"/>
      <c r="CW49" s="103"/>
      <c r="CX49" s="103"/>
      <c r="CY49" s="103"/>
      <c r="CZ49" s="103"/>
      <c r="DA49" s="103">
        <v>200</v>
      </c>
      <c r="DB49" s="103"/>
      <c r="DC49" s="103"/>
      <c r="DD49" s="103"/>
      <c r="DE49" s="103"/>
      <c r="DF49" s="103"/>
      <c r="DG49" s="103"/>
      <c r="DH49" s="103"/>
      <c r="DI49" s="103"/>
      <c r="DJ49" s="103">
        <v>126</v>
      </c>
      <c r="DK49" s="103"/>
      <c r="DL49" s="103">
        <v>0</v>
      </c>
      <c r="DM49" s="103">
        <v>0</v>
      </c>
      <c r="DN49" s="103">
        <v>0</v>
      </c>
      <c r="DO49" s="103">
        <v>0</v>
      </c>
      <c r="DP49" s="103"/>
      <c r="DQ49" s="103"/>
      <c r="DR49" s="103"/>
      <c r="DS49" s="103"/>
      <c r="DT49" s="103">
        <v>566.29999999999995</v>
      </c>
      <c r="DU49" s="103">
        <f>548+688.6</f>
        <v>1236.5999999999999</v>
      </c>
      <c r="DV49" s="103"/>
      <c r="DW49" s="103">
        <v>6508.2</v>
      </c>
      <c r="DX49" s="116"/>
      <c r="DY49" s="103"/>
      <c r="DZ49" s="103"/>
      <c r="EA49" s="103"/>
      <c r="EB49" s="103"/>
      <c r="EC49" s="103"/>
      <c r="ED49" s="103"/>
      <c r="EE49" s="103"/>
      <c r="EF49" s="103"/>
      <c r="EG49" s="103"/>
      <c r="EH49" s="103"/>
      <c r="EI49" s="103">
        <v>22446.3</v>
      </c>
      <c r="EJ49" s="103">
        <v>0</v>
      </c>
      <c r="EK49" s="103">
        <v>0</v>
      </c>
      <c r="EL49" s="103">
        <v>0</v>
      </c>
      <c r="EM49" s="103">
        <v>0</v>
      </c>
      <c r="EN49" s="103">
        <v>0</v>
      </c>
      <c r="EO49" s="103">
        <v>0</v>
      </c>
      <c r="EP49" s="103">
        <v>0</v>
      </c>
      <c r="EQ49" s="103">
        <v>761.7</v>
      </c>
      <c r="ER49" s="103">
        <v>0</v>
      </c>
      <c r="ES49" s="103">
        <v>0</v>
      </c>
      <c r="ET49" s="103">
        <v>0</v>
      </c>
      <c r="EU49" s="103"/>
      <c r="EV49" s="103"/>
      <c r="EW49" s="103">
        <v>0</v>
      </c>
      <c r="EX49" s="103">
        <v>0</v>
      </c>
      <c r="EY49" s="103">
        <v>0</v>
      </c>
      <c r="EZ49" s="103">
        <v>12.6</v>
      </c>
      <c r="FA49" s="103">
        <v>0</v>
      </c>
      <c r="FB49" s="103">
        <v>60</v>
      </c>
      <c r="FC49" s="103">
        <v>144</v>
      </c>
      <c r="FD49" s="103">
        <v>0</v>
      </c>
      <c r="FE49" s="103">
        <v>500</v>
      </c>
      <c r="FF49" s="103">
        <v>572.6</v>
      </c>
      <c r="FG49" s="103">
        <v>12181.5</v>
      </c>
      <c r="FH49" s="103">
        <v>0</v>
      </c>
      <c r="FI49" s="103">
        <v>0</v>
      </c>
      <c r="FJ49" s="103">
        <v>0</v>
      </c>
      <c r="FK49" s="103">
        <v>0</v>
      </c>
      <c r="FL49" s="103">
        <v>0</v>
      </c>
      <c r="FM49" s="103">
        <v>0</v>
      </c>
      <c r="FN49" s="103">
        <v>0</v>
      </c>
      <c r="FO49" s="103">
        <v>62.4</v>
      </c>
      <c r="FP49" s="103">
        <v>0</v>
      </c>
      <c r="FQ49" s="103">
        <v>0</v>
      </c>
      <c r="FR49" s="103">
        <v>0</v>
      </c>
      <c r="FS49" s="103">
        <v>0</v>
      </c>
      <c r="FT49" s="103">
        <v>0</v>
      </c>
      <c r="FU49" s="103">
        <v>0</v>
      </c>
      <c r="FV49" s="103">
        <v>0</v>
      </c>
      <c r="FW49" s="103">
        <v>0</v>
      </c>
      <c r="FX49" s="103">
        <v>0</v>
      </c>
      <c r="FY49" s="103">
        <v>0</v>
      </c>
      <c r="FZ49" s="103">
        <v>0</v>
      </c>
      <c r="GA49" s="103">
        <v>0</v>
      </c>
      <c r="GB49" s="103"/>
      <c r="GC49" s="103"/>
      <c r="GD49" s="103">
        <v>0</v>
      </c>
      <c r="GE49" s="103"/>
      <c r="GF49" s="103"/>
      <c r="GG49" s="103"/>
      <c r="GH49" s="103">
        <v>488.2</v>
      </c>
      <c r="GI49" s="103">
        <f>605.2+1841.9</f>
        <v>2447.1000000000004</v>
      </c>
      <c r="GJ49" s="103">
        <v>0</v>
      </c>
      <c r="GK49" s="103">
        <v>0</v>
      </c>
      <c r="GL49" s="103">
        <v>0</v>
      </c>
      <c r="GM49" s="103"/>
      <c r="GN49" s="103"/>
      <c r="GO49" s="103"/>
      <c r="GP49" s="103"/>
      <c r="GQ49" s="103"/>
      <c r="GR49" s="103"/>
      <c r="GS49" s="103">
        <v>0</v>
      </c>
      <c r="GT49" s="103">
        <v>0</v>
      </c>
      <c r="GU49" s="103">
        <v>0</v>
      </c>
      <c r="GV49" s="103">
        <v>0</v>
      </c>
      <c r="GW49" s="103">
        <v>0</v>
      </c>
      <c r="GX49" s="103">
        <v>0</v>
      </c>
      <c r="GY49" s="103">
        <v>0</v>
      </c>
      <c r="GZ49" s="103">
        <v>0</v>
      </c>
      <c r="HA49" s="103">
        <v>642.70000000000005</v>
      </c>
      <c r="HB49" s="103">
        <v>0</v>
      </c>
      <c r="HC49" s="103"/>
      <c r="HD49" s="103"/>
      <c r="HE49" s="103"/>
      <c r="HF49" s="103">
        <v>0</v>
      </c>
      <c r="HG49" s="103">
        <v>0</v>
      </c>
      <c r="HH49" s="103">
        <v>0</v>
      </c>
      <c r="HI49" s="103">
        <v>0</v>
      </c>
      <c r="HJ49" s="103">
        <v>0</v>
      </c>
      <c r="HK49" s="103">
        <v>0</v>
      </c>
      <c r="HL49" s="103">
        <v>0</v>
      </c>
      <c r="HM49" s="103"/>
      <c r="HN49" s="103">
        <v>3996.5</v>
      </c>
      <c r="HO49" s="103"/>
      <c r="HP49" s="103"/>
      <c r="HQ49" s="103"/>
      <c r="HR49" s="103"/>
      <c r="HS49" s="103"/>
      <c r="HT49" s="103"/>
      <c r="HU49" s="103"/>
      <c r="HV49" s="103">
        <v>569.4</v>
      </c>
      <c r="HW49" s="103"/>
      <c r="HX49" s="103"/>
      <c r="HY49" s="103"/>
      <c r="HZ49" s="103">
        <v>0</v>
      </c>
      <c r="IA49" s="103">
        <v>216</v>
      </c>
      <c r="IB49" s="103">
        <v>0</v>
      </c>
      <c r="IC49" s="103">
        <v>70</v>
      </c>
      <c r="ID49" s="103">
        <v>0</v>
      </c>
      <c r="IE49" s="103">
        <v>0</v>
      </c>
      <c r="IF49" s="103">
        <v>0</v>
      </c>
      <c r="IG49" s="103">
        <v>0</v>
      </c>
      <c r="IH49" s="103">
        <v>60</v>
      </c>
      <c r="II49" s="103">
        <v>0</v>
      </c>
      <c r="IJ49" s="103">
        <v>50.4</v>
      </c>
      <c r="IK49" s="103">
        <v>0</v>
      </c>
      <c r="IL49" s="103">
        <v>0</v>
      </c>
      <c r="IM49" s="103">
        <v>300</v>
      </c>
      <c r="IN49" s="103">
        <v>0</v>
      </c>
      <c r="IO49" s="103">
        <v>0</v>
      </c>
      <c r="IP49" s="103">
        <v>0</v>
      </c>
      <c r="IQ49" s="103">
        <v>0</v>
      </c>
      <c r="IR49" s="103">
        <v>1730.4</v>
      </c>
      <c r="IS49" s="103">
        <v>0</v>
      </c>
      <c r="IT49" s="103">
        <v>3336.8</v>
      </c>
      <c r="IU49" s="103">
        <v>0</v>
      </c>
      <c r="IV49" s="103"/>
      <c r="IW49" s="103">
        <v>0</v>
      </c>
      <c r="IX49" s="103">
        <v>135</v>
      </c>
      <c r="IY49" s="103">
        <v>0</v>
      </c>
      <c r="IZ49" s="103">
        <v>0</v>
      </c>
      <c r="JA49" s="103">
        <v>0</v>
      </c>
      <c r="JB49" s="103">
        <v>0</v>
      </c>
      <c r="JC49" s="103">
        <v>0</v>
      </c>
      <c r="JD49" s="103"/>
      <c r="JE49" s="103"/>
      <c r="JF49" s="103"/>
      <c r="JG49" s="103"/>
      <c r="JH49" s="103"/>
      <c r="JI49" s="103"/>
      <c r="JJ49" s="103"/>
      <c r="JK49" s="103"/>
      <c r="JL49" s="103"/>
      <c r="JM49" s="103"/>
      <c r="JN49" s="103"/>
      <c r="JO49" s="103"/>
      <c r="JP49" s="103"/>
      <c r="JQ49" s="103"/>
      <c r="JR49" s="103"/>
      <c r="JS49" s="103"/>
      <c r="JT49" s="103"/>
      <c r="JU49" s="103"/>
      <c r="JV49" s="103"/>
      <c r="JW49" s="103">
        <v>3607.3</v>
      </c>
      <c r="JX49" s="103"/>
      <c r="JY49" s="103"/>
      <c r="JZ49" s="103">
        <v>0</v>
      </c>
      <c r="KA49" s="103">
        <v>0</v>
      </c>
      <c r="KB49" s="103"/>
      <c r="KC49" s="103"/>
      <c r="KD49" s="103"/>
      <c r="KE49" s="103"/>
      <c r="KF49" s="103"/>
      <c r="KG49" s="103">
        <v>0</v>
      </c>
      <c r="KH49" s="103">
        <v>0</v>
      </c>
      <c r="KI49" s="103">
        <v>0</v>
      </c>
      <c r="KJ49" s="103">
        <v>34640.699999999997</v>
      </c>
      <c r="KK49" s="103">
        <v>150</v>
      </c>
      <c r="KL49" s="103">
        <v>0</v>
      </c>
      <c r="KM49" s="103">
        <v>0</v>
      </c>
      <c r="KN49" s="103">
        <v>0</v>
      </c>
      <c r="KO49" s="103">
        <v>0</v>
      </c>
      <c r="KP49" s="103">
        <v>0</v>
      </c>
      <c r="KQ49" s="103">
        <v>0</v>
      </c>
      <c r="KR49" s="103">
        <v>1112.9000000000001</v>
      </c>
      <c r="KS49" s="103">
        <v>1500</v>
      </c>
      <c r="KT49" s="103">
        <v>0</v>
      </c>
      <c r="KU49" s="103">
        <v>0</v>
      </c>
      <c r="KV49" s="103">
        <v>128.80000000000001</v>
      </c>
      <c r="KW49" s="103">
        <v>1000</v>
      </c>
      <c r="KX49" s="103">
        <v>22450</v>
      </c>
      <c r="KY49" s="103">
        <v>0</v>
      </c>
      <c r="KZ49" s="103">
        <v>0</v>
      </c>
      <c r="LA49" s="103">
        <v>0</v>
      </c>
      <c r="LB49" s="103">
        <v>60</v>
      </c>
      <c r="LC49" s="103"/>
      <c r="LD49" s="103"/>
      <c r="LE49" s="103"/>
      <c r="LF49" s="103"/>
      <c r="LG49" s="103"/>
      <c r="LH49" s="103"/>
      <c r="LI49" s="103"/>
      <c r="LJ49" s="103"/>
      <c r="LK49" s="103"/>
      <c r="LL49" s="103"/>
      <c r="LM49" s="103"/>
      <c r="LN49" s="103"/>
      <c r="LO49" s="103"/>
      <c r="LP49" s="103"/>
      <c r="LQ49" s="103"/>
      <c r="LR49" s="103"/>
      <c r="LS49" s="103"/>
      <c r="LT49" s="103">
        <v>0</v>
      </c>
      <c r="LU49" s="103"/>
      <c r="LV49" s="103"/>
      <c r="LW49" s="103"/>
      <c r="LX49" s="103">
        <v>2</v>
      </c>
      <c r="LY49" s="103">
        <v>0</v>
      </c>
      <c r="LZ49" s="103">
        <v>0</v>
      </c>
      <c r="MA49" s="103">
        <v>0</v>
      </c>
      <c r="MB49" s="103">
        <v>0</v>
      </c>
      <c r="MC49" s="103">
        <v>0</v>
      </c>
      <c r="MD49" s="103">
        <v>0</v>
      </c>
      <c r="ME49" s="103">
        <v>0</v>
      </c>
      <c r="MF49" s="103">
        <v>0</v>
      </c>
      <c r="MG49" s="103">
        <v>0</v>
      </c>
      <c r="MH49" s="103">
        <v>0</v>
      </c>
      <c r="MI49" s="103">
        <v>0</v>
      </c>
      <c r="MJ49" s="103">
        <v>0</v>
      </c>
      <c r="MK49" s="103">
        <v>0</v>
      </c>
      <c r="ML49" s="103">
        <v>0</v>
      </c>
      <c r="MM49" s="103">
        <v>342</v>
      </c>
      <c r="MN49" s="103">
        <v>0</v>
      </c>
      <c r="MO49" s="103">
        <v>0</v>
      </c>
      <c r="MP49" s="103">
        <v>0</v>
      </c>
      <c r="MQ49" s="103">
        <v>0</v>
      </c>
      <c r="MR49" s="103">
        <v>582</v>
      </c>
      <c r="MS49" s="103">
        <v>0</v>
      </c>
      <c r="MT49" s="103">
        <v>0</v>
      </c>
      <c r="MU49" s="103">
        <v>0</v>
      </c>
      <c r="MV49" s="103">
        <v>0</v>
      </c>
      <c r="MW49" s="103">
        <v>0</v>
      </c>
      <c r="MX49" s="103">
        <v>0</v>
      </c>
      <c r="MY49" s="103">
        <v>0</v>
      </c>
      <c r="MZ49" s="103">
        <v>0</v>
      </c>
      <c r="NA49" s="103">
        <v>0</v>
      </c>
      <c r="NB49" s="103">
        <v>156</v>
      </c>
      <c r="NC49" s="103"/>
      <c r="ND49" s="103"/>
      <c r="NE49" s="103"/>
      <c r="NF49" s="103"/>
      <c r="NG49" s="103">
        <v>0</v>
      </c>
      <c r="NH49" s="103">
        <v>0</v>
      </c>
      <c r="NI49" s="103">
        <v>0</v>
      </c>
      <c r="NJ49" s="103">
        <v>0</v>
      </c>
      <c r="NK49" s="103">
        <v>10414.4</v>
      </c>
      <c r="NL49" s="103">
        <v>0</v>
      </c>
      <c r="NM49" s="103">
        <v>0</v>
      </c>
      <c r="NN49" s="103">
        <v>0</v>
      </c>
      <c r="NO49" s="103">
        <v>0</v>
      </c>
      <c r="NP49" s="103">
        <v>0</v>
      </c>
      <c r="NQ49" s="103"/>
      <c r="NR49" s="103"/>
      <c r="NS49" s="103"/>
      <c r="NT49" s="103"/>
      <c r="NU49" s="103"/>
      <c r="NV49" s="103">
        <v>210.20000000000002</v>
      </c>
      <c r="NW49" s="103">
        <v>0</v>
      </c>
      <c r="NX49" s="103">
        <v>0</v>
      </c>
      <c r="NY49" s="103">
        <v>240</v>
      </c>
      <c r="NZ49" s="103">
        <v>0</v>
      </c>
      <c r="OA49" s="103">
        <v>0</v>
      </c>
      <c r="OB49" s="103"/>
      <c r="OC49" s="103"/>
      <c r="OD49" s="103">
        <v>0</v>
      </c>
      <c r="OE49" s="103">
        <v>0</v>
      </c>
      <c r="OF49" s="103">
        <v>0</v>
      </c>
      <c r="OG49" s="103">
        <v>0</v>
      </c>
      <c r="OH49" s="103">
        <v>0</v>
      </c>
      <c r="OI49" s="103">
        <v>720</v>
      </c>
      <c r="OJ49" s="103">
        <v>4600</v>
      </c>
      <c r="OK49" s="103">
        <v>0</v>
      </c>
      <c r="OL49" s="103">
        <v>7000</v>
      </c>
      <c r="OM49" s="103">
        <v>0</v>
      </c>
      <c r="ON49" s="103">
        <v>0</v>
      </c>
      <c r="OO49" s="103">
        <v>45</v>
      </c>
      <c r="OP49" s="103">
        <v>570.79999999999995</v>
      </c>
      <c r="OQ49" s="103">
        <v>0</v>
      </c>
      <c r="OR49" s="103">
        <v>220.5</v>
      </c>
      <c r="OS49" s="103">
        <v>1974</v>
      </c>
      <c r="OT49" s="103">
        <v>1069</v>
      </c>
      <c r="OU49" s="103">
        <v>49.1</v>
      </c>
      <c r="OV49" s="103">
        <v>221.9</v>
      </c>
      <c r="OW49" s="103">
        <v>0</v>
      </c>
      <c r="OX49" s="103">
        <v>21.1</v>
      </c>
      <c r="OY49" s="103">
        <v>0</v>
      </c>
      <c r="OZ49" s="103">
        <v>189645.4</v>
      </c>
      <c r="PA49" s="103">
        <v>595.20000000000005</v>
      </c>
      <c r="PB49" s="103">
        <v>7718.8</v>
      </c>
      <c r="PC49" s="103">
        <v>0</v>
      </c>
      <c r="PD49" s="103">
        <v>4.5</v>
      </c>
      <c r="PE49" s="103">
        <v>0</v>
      </c>
      <c r="PF49" s="103">
        <v>0</v>
      </c>
      <c r="PG49" s="103">
        <v>78792</v>
      </c>
      <c r="PH49" s="103">
        <v>1534.8</v>
      </c>
      <c r="PI49" s="103">
        <v>462.5</v>
      </c>
      <c r="PJ49" s="103">
        <v>595.1</v>
      </c>
      <c r="PK49" s="103">
        <v>0</v>
      </c>
      <c r="PL49" s="103">
        <v>0</v>
      </c>
      <c r="PM49" s="103">
        <v>0</v>
      </c>
      <c r="PN49" s="103">
        <v>0</v>
      </c>
      <c r="PO49" s="103">
        <v>0</v>
      </c>
      <c r="PP49" s="103">
        <v>0</v>
      </c>
      <c r="PQ49" s="103">
        <v>0</v>
      </c>
      <c r="PR49" s="103">
        <v>0</v>
      </c>
      <c r="PS49" s="103">
        <v>260.7</v>
      </c>
      <c r="PT49" s="103">
        <v>0</v>
      </c>
      <c r="PU49" s="103">
        <v>0.2</v>
      </c>
      <c r="PV49" s="103">
        <v>0</v>
      </c>
      <c r="PW49" s="103">
        <v>8971.1</v>
      </c>
      <c r="PX49" s="103">
        <v>0</v>
      </c>
      <c r="PY49" s="103">
        <v>0</v>
      </c>
      <c r="PZ49" s="103">
        <v>90</v>
      </c>
      <c r="QA49" s="103">
        <v>0</v>
      </c>
      <c r="QB49" s="103">
        <v>0</v>
      </c>
      <c r="QC49" s="103">
        <v>4056.2000000000003</v>
      </c>
      <c r="QD49" s="103">
        <v>5984.9000000000005</v>
      </c>
      <c r="QE49" s="103">
        <v>5778.4000000000005</v>
      </c>
      <c r="QF49" s="103">
        <v>110.2</v>
      </c>
      <c r="QG49" s="103">
        <v>280</v>
      </c>
      <c r="QH49" s="103">
        <v>0</v>
      </c>
      <c r="QI49" s="103">
        <v>12168.2</v>
      </c>
      <c r="QJ49" s="103">
        <v>360</v>
      </c>
      <c r="QK49" s="103">
        <v>0</v>
      </c>
      <c r="QL49" s="103">
        <v>0</v>
      </c>
      <c r="QM49" s="103">
        <v>5214.6000000000004</v>
      </c>
      <c r="QN49" s="103"/>
      <c r="QO49" s="103">
        <v>99</v>
      </c>
      <c r="QP49" s="103"/>
      <c r="QQ49" s="103">
        <v>5303.4</v>
      </c>
      <c r="QR49" s="103">
        <v>2000</v>
      </c>
      <c r="QS49" s="103">
        <v>0</v>
      </c>
      <c r="QT49" s="103">
        <v>0</v>
      </c>
      <c r="QU49" s="103">
        <v>0</v>
      </c>
      <c r="QV49" s="103">
        <v>0</v>
      </c>
      <c r="QW49" s="103">
        <v>0</v>
      </c>
      <c r="QX49" s="103">
        <v>0</v>
      </c>
      <c r="QY49" s="103">
        <v>236.5</v>
      </c>
      <c r="QZ49" s="103">
        <v>40</v>
      </c>
      <c r="RA49" s="103">
        <v>0</v>
      </c>
      <c r="RB49" s="103">
        <v>0</v>
      </c>
      <c r="RC49" s="103">
        <v>120</v>
      </c>
      <c r="RD49" s="103">
        <v>0</v>
      </c>
      <c r="RE49" s="103">
        <v>0</v>
      </c>
      <c r="RF49" s="103">
        <v>300</v>
      </c>
      <c r="RG49" s="103"/>
      <c r="RH49" s="103"/>
      <c r="RI49" s="103"/>
      <c r="RJ49" s="103">
        <v>108</v>
      </c>
      <c r="RK49" s="103"/>
      <c r="RL49" s="103"/>
      <c r="RM49" s="103"/>
      <c r="RN49" s="103"/>
    </row>
    <row r="50" spans="1:482" s="60" customFormat="1" ht="11.25" customHeight="1" x14ac:dyDescent="0.2">
      <c r="A50" s="125" t="s">
        <v>789</v>
      </c>
      <c r="B50" s="176" t="s">
        <v>790</v>
      </c>
      <c r="C50" s="176"/>
      <c r="D50" s="116">
        <f>SUM(E50:RR50)</f>
        <v>342225.49999999953</v>
      </c>
      <c r="E50" s="114"/>
      <c r="F50" s="114">
        <v>173.8</v>
      </c>
      <c r="G50" s="114">
        <v>286</v>
      </c>
      <c r="H50" s="114">
        <v>5100</v>
      </c>
      <c r="I50" s="114">
        <v>256</v>
      </c>
      <c r="J50" s="114">
        <v>3402.5</v>
      </c>
      <c r="K50" s="114">
        <v>949.5</v>
      </c>
      <c r="L50" s="114">
        <v>410.5</v>
      </c>
      <c r="M50" s="114">
        <v>507.4</v>
      </c>
      <c r="N50" s="114">
        <v>0</v>
      </c>
      <c r="O50" s="114">
        <v>436.4</v>
      </c>
      <c r="P50" s="114">
        <f>4570.8+1998</f>
        <v>6568.8</v>
      </c>
      <c r="Q50" s="114">
        <v>4164.3</v>
      </c>
      <c r="R50" s="114">
        <v>2721.4</v>
      </c>
      <c r="S50" s="114">
        <v>382.5</v>
      </c>
      <c r="T50" s="114">
        <v>127.4</v>
      </c>
      <c r="U50" s="114">
        <v>124.6</v>
      </c>
      <c r="V50" s="114">
        <v>126.8</v>
      </c>
      <c r="W50" s="114">
        <v>35</v>
      </c>
      <c r="X50" s="114">
        <f>11738.1+856.6</f>
        <v>12594.7</v>
      </c>
      <c r="Y50" s="114">
        <v>1884.1</v>
      </c>
      <c r="Z50" s="114">
        <v>2584.6</v>
      </c>
      <c r="AA50" s="114">
        <v>0</v>
      </c>
      <c r="AB50" s="114">
        <v>197.1</v>
      </c>
      <c r="AC50" s="114">
        <v>2088.4</v>
      </c>
      <c r="AD50" s="114">
        <v>562.20000000000005</v>
      </c>
      <c r="AE50" s="114">
        <v>25077.599999999999</v>
      </c>
      <c r="AF50" s="114">
        <v>386.9</v>
      </c>
      <c r="AG50" s="114">
        <v>0</v>
      </c>
      <c r="AH50" s="114">
        <v>96</v>
      </c>
      <c r="AI50" s="114">
        <v>1053.7</v>
      </c>
      <c r="AJ50" s="114">
        <f>3809.7+1900</f>
        <v>5709.7</v>
      </c>
      <c r="AK50" s="114">
        <v>11514.3</v>
      </c>
      <c r="AL50" s="114">
        <v>299.10000000000002</v>
      </c>
      <c r="AM50" s="114">
        <v>747.5</v>
      </c>
      <c r="AN50" s="114">
        <v>1111.7</v>
      </c>
      <c r="AO50" s="114">
        <v>240.5</v>
      </c>
      <c r="AP50" s="114">
        <f>1622.1+6913+526.8</f>
        <v>9061.9</v>
      </c>
      <c r="AQ50" s="114">
        <v>32129.599999999999</v>
      </c>
      <c r="AR50" s="114">
        <v>153.19999999999999</v>
      </c>
      <c r="AS50" s="114">
        <v>721.9</v>
      </c>
      <c r="AT50" s="114">
        <v>16794</v>
      </c>
      <c r="AU50" s="114">
        <v>283.8</v>
      </c>
      <c r="AV50" s="114">
        <v>92.4</v>
      </c>
      <c r="AW50" s="114">
        <v>3754</v>
      </c>
      <c r="AX50" s="114">
        <v>1286</v>
      </c>
      <c r="AY50" s="114">
        <f>14289.2+41.4</f>
        <v>14330.6</v>
      </c>
      <c r="AZ50" s="114">
        <v>902.1</v>
      </c>
      <c r="BA50" s="114">
        <v>4194</v>
      </c>
      <c r="BB50" s="114">
        <v>13310.9</v>
      </c>
      <c r="BC50" s="114">
        <v>4823.5</v>
      </c>
      <c r="BD50" s="114">
        <v>1586.3</v>
      </c>
      <c r="BE50" s="114">
        <v>945.7</v>
      </c>
      <c r="BF50" s="114">
        <v>0</v>
      </c>
      <c r="BG50" s="114">
        <v>789.2</v>
      </c>
      <c r="BH50" s="114">
        <v>0</v>
      </c>
      <c r="BI50" s="114">
        <v>208</v>
      </c>
      <c r="BJ50" s="114">
        <v>391</v>
      </c>
      <c r="BK50" s="114" t="s">
        <v>942</v>
      </c>
      <c r="BL50" s="103">
        <v>149.80000000000001</v>
      </c>
      <c r="BM50" s="103">
        <v>0</v>
      </c>
      <c r="BN50" s="103">
        <v>0</v>
      </c>
      <c r="BO50" s="103">
        <v>91.600000000000009</v>
      </c>
      <c r="BP50" s="103">
        <v>287</v>
      </c>
      <c r="BQ50" s="103">
        <v>0</v>
      </c>
      <c r="BR50" s="103">
        <v>4823.1000000000004</v>
      </c>
      <c r="BS50" s="103">
        <v>94.5</v>
      </c>
      <c r="BT50" s="103">
        <v>0</v>
      </c>
      <c r="BU50" s="103">
        <v>0</v>
      </c>
      <c r="BV50" s="103">
        <v>147.4</v>
      </c>
      <c r="BW50" s="103">
        <v>110</v>
      </c>
      <c r="BX50" s="103">
        <v>429.80000000000007</v>
      </c>
      <c r="BY50" s="103">
        <v>672.9</v>
      </c>
      <c r="BZ50" s="103">
        <v>482.4</v>
      </c>
      <c r="CA50" s="103">
        <v>0</v>
      </c>
      <c r="CB50" s="103">
        <v>0</v>
      </c>
      <c r="CC50" s="103">
        <v>1929</v>
      </c>
      <c r="CD50" s="103">
        <v>266.2</v>
      </c>
      <c r="CE50" s="103">
        <v>51.4</v>
      </c>
      <c r="CF50" s="103">
        <v>0</v>
      </c>
      <c r="CG50" s="103">
        <v>125</v>
      </c>
      <c r="CH50" s="103">
        <v>548.40000000000009</v>
      </c>
      <c r="CI50" s="103">
        <v>195</v>
      </c>
      <c r="CJ50" s="103">
        <v>1653.4</v>
      </c>
      <c r="CK50" s="103">
        <v>219.9</v>
      </c>
      <c r="CL50" s="103">
        <v>0</v>
      </c>
      <c r="CM50" s="103">
        <v>829.5</v>
      </c>
      <c r="CN50" s="103">
        <v>755.4</v>
      </c>
      <c r="CO50" s="103">
        <v>0</v>
      </c>
      <c r="CP50" s="103">
        <v>569</v>
      </c>
      <c r="CQ50" s="103">
        <v>352.8</v>
      </c>
      <c r="CR50" s="103">
        <v>0</v>
      </c>
      <c r="CS50" s="103">
        <v>3396.9000000000005</v>
      </c>
      <c r="CT50" s="103"/>
      <c r="CU50" s="103"/>
      <c r="CV50" s="103">
        <v>3950.3</v>
      </c>
      <c r="CW50" s="103">
        <v>932.3</v>
      </c>
      <c r="CX50" s="103">
        <v>169.4</v>
      </c>
      <c r="CY50" s="103"/>
      <c r="CZ50" s="103">
        <v>32</v>
      </c>
      <c r="DA50" s="103">
        <v>884.3</v>
      </c>
      <c r="DB50" s="103">
        <v>126.6</v>
      </c>
      <c r="DC50" s="103"/>
      <c r="DD50" s="103"/>
      <c r="DE50" s="103"/>
      <c r="DF50" s="103">
        <v>344.7</v>
      </c>
      <c r="DG50" s="103">
        <v>263</v>
      </c>
      <c r="DH50" s="103"/>
      <c r="DI50" s="103"/>
      <c r="DJ50" s="103"/>
      <c r="DK50" s="103"/>
      <c r="DL50" s="103">
        <v>363.4</v>
      </c>
      <c r="DM50" s="103">
        <v>250.9</v>
      </c>
      <c r="DN50" s="103"/>
      <c r="DO50" s="103">
        <v>314.5</v>
      </c>
      <c r="DP50" s="103">
        <v>619.5</v>
      </c>
      <c r="DQ50" s="103">
        <v>282.10000000000002</v>
      </c>
      <c r="DR50" s="103">
        <v>183</v>
      </c>
      <c r="DS50" s="103">
        <v>324.2</v>
      </c>
      <c r="DT50" s="103">
        <v>2038</v>
      </c>
      <c r="DU50" s="103">
        <v>44.4</v>
      </c>
      <c r="DV50" s="103">
        <v>455.8</v>
      </c>
      <c r="DW50" s="103">
        <v>587.4</v>
      </c>
      <c r="DX50" s="116">
        <v>20.9</v>
      </c>
      <c r="DY50" s="103"/>
      <c r="DZ50" s="103"/>
      <c r="EA50" s="103"/>
      <c r="EB50" s="103"/>
      <c r="EC50" s="103"/>
      <c r="ED50" s="103"/>
      <c r="EE50" s="103">
        <v>247.6</v>
      </c>
      <c r="EF50" s="103"/>
      <c r="EG50" s="103"/>
      <c r="EH50" s="103"/>
      <c r="EI50" s="103">
        <v>2237.6</v>
      </c>
      <c r="EJ50" s="103">
        <v>0</v>
      </c>
      <c r="EK50" s="103">
        <v>177.8</v>
      </c>
      <c r="EL50" s="103">
        <v>214.1</v>
      </c>
      <c r="EM50" s="103">
        <v>0</v>
      </c>
      <c r="EN50" s="103">
        <v>0</v>
      </c>
      <c r="EO50" s="103">
        <v>0</v>
      </c>
      <c r="EP50" s="103">
        <v>0</v>
      </c>
      <c r="EQ50" s="103">
        <v>43.5</v>
      </c>
      <c r="ER50" s="103">
        <v>9058.8000000000011</v>
      </c>
      <c r="ES50" s="103">
        <v>0</v>
      </c>
      <c r="ET50" s="103">
        <v>0</v>
      </c>
      <c r="EU50" s="103">
        <v>131</v>
      </c>
      <c r="EV50" s="103"/>
      <c r="EW50" s="103">
        <v>55</v>
      </c>
      <c r="EX50" s="103">
        <v>118.3</v>
      </c>
      <c r="EY50" s="103">
        <v>50.9</v>
      </c>
      <c r="EZ50" s="103">
        <v>55</v>
      </c>
      <c r="FA50" s="103">
        <v>115</v>
      </c>
      <c r="FB50" s="103">
        <v>104</v>
      </c>
      <c r="FC50" s="103">
        <v>21.3</v>
      </c>
      <c r="FD50" s="103">
        <v>225</v>
      </c>
      <c r="FE50" s="103">
        <v>44.7</v>
      </c>
      <c r="FF50" s="103">
        <v>1850.7</v>
      </c>
      <c r="FG50" s="103">
        <v>1207.1000000000001</v>
      </c>
      <c r="FH50" s="103">
        <v>1273.3</v>
      </c>
      <c r="FI50" s="103">
        <v>260.5</v>
      </c>
      <c r="FJ50" s="103">
        <v>151.80000000000001</v>
      </c>
      <c r="FK50" s="103">
        <v>0</v>
      </c>
      <c r="FL50" s="103">
        <v>0</v>
      </c>
      <c r="FM50" s="103">
        <v>24</v>
      </c>
      <c r="FN50" s="103">
        <v>0</v>
      </c>
      <c r="FO50" s="103">
        <v>45</v>
      </c>
      <c r="FP50" s="103">
        <v>496</v>
      </c>
      <c r="FQ50" s="103">
        <v>0</v>
      </c>
      <c r="FR50" s="103">
        <v>0</v>
      </c>
      <c r="FS50" s="103">
        <v>165</v>
      </c>
      <c r="FT50" s="103">
        <v>91.600000000000009</v>
      </c>
      <c r="FU50" s="103">
        <v>0</v>
      </c>
      <c r="FV50" s="103">
        <v>887</v>
      </c>
      <c r="FW50" s="103">
        <v>0</v>
      </c>
      <c r="FX50" s="103">
        <v>0</v>
      </c>
      <c r="FY50" s="103">
        <v>0</v>
      </c>
      <c r="FZ50" s="103">
        <v>0</v>
      </c>
      <c r="GA50" s="103">
        <v>359</v>
      </c>
      <c r="GB50" s="103">
        <v>464.5</v>
      </c>
      <c r="GC50" s="103">
        <v>284</v>
      </c>
      <c r="GD50" s="103">
        <v>466.90000000000003</v>
      </c>
      <c r="GE50" s="103"/>
      <c r="GF50" s="103">
        <v>118.8</v>
      </c>
      <c r="GG50" s="103">
        <v>185.8</v>
      </c>
      <c r="GH50" s="103">
        <v>1576</v>
      </c>
      <c r="GI50" s="103">
        <v>207.4</v>
      </c>
      <c r="GJ50" s="103">
        <v>822.3</v>
      </c>
      <c r="GK50" s="103">
        <v>25</v>
      </c>
      <c r="GL50" s="103"/>
      <c r="GM50" s="103">
        <v>238.8</v>
      </c>
      <c r="GN50" s="103"/>
      <c r="GO50" s="103">
        <v>525.1</v>
      </c>
      <c r="GP50" s="103"/>
      <c r="GQ50" s="103"/>
      <c r="GR50" s="103">
        <v>310</v>
      </c>
      <c r="GS50" s="103">
        <v>0</v>
      </c>
      <c r="GT50" s="103">
        <v>0</v>
      </c>
      <c r="GU50" s="103">
        <v>418.1</v>
      </c>
      <c r="GV50" s="103">
        <v>70</v>
      </c>
      <c r="GW50" s="103">
        <v>0</v>
      </c>
      <c r="GX50" s="103">
        <v>532</v>
      </c>
      <c r="GY50" s="103">
        <v>0</v>
      </c>
      <c r="GZ50" s="103">
        <v>0</v>
      </c>
      <c r="HA50" s="103">
        <v>108.2</v>
      </c>
      <c r="HB50" s="103">
        <v>189.5</v>
      </c>
      <c r="HC50" s="103"/>
      <c r="HD50" s="103"/>
      <c r="HE50" s="103">
        <v>135.4</v>
      </c>
      <c r="HF50" s="103">
        <v>32</v>
      </c>
      <c r="HG50" s="103">
        <v>0</v>
      </c>
      <c r="HH50" s="103">
        <v>0</v>
      </c>
      <c r="HI50" s="103">
        <v>699</v>
      </c>
      <c r="HJ50" s="103">
        <v>375</v>
      </c>
      <c r="HK50" s="103">
        <v>0</v>
      </c>
      <c r="HL50" s="103">
        <v>0</v>
      </c>
      <c r="HM50" s="103">
        <v>207.4</v>
      </c>
      <c r="HN50" s="103">
        <v>364</v>
      </c>
      <c r="HO50" s="103">
        <v>318.90000000000003</v>
      </c>
      <c r="HP50" s="103"/>
      <c r="HQ50" s="103"/>
      <c r="HR50" s="103"/>
      <c r="HS50" s="103">
        <v>317.5</v>
      </c>
      <c r="HT50" s="103"/>
      <c r="HU50" s="103"/>
      <c r="HV50" s="103">
        <v>621.6</v>
      </c>
      <c r="HW50" s="103">
        <v>2264.8000000000002</v>
      </c>
      <c r="HX50" s="103"/>
      <c r="HY50" s="103"/>
      <c r="HZ50" s="103">
        <v>0</v>
      </c>
      <c r="IA50" s="103">
        <v>0</v>
      </c>
      <c r="IB50" s="103">
        <v>329</v>
      </c>
      <c r="IC50" s="103">
        <v>1160.7</v>
      </c>
      <c r="ID50" s="103">
        <v>1074</v>
      </c>
      <c r="IE50" s="103">
        <v>0</v>
      </c>
      <c r="IF50" s="103">
        <v>52.5</v>
      </c>
      <c r="IG50" s="103">
        <v>0</v>
      </c>
      <c r="IH50" s="103">
        <v>91.5</v>
      </c>
      <c r="II50" s="103">
        <v>0</v>
      </c>
      <c r="IJ50" s="103">
        <v>0</v>
      </c>
      <c r="IK50" s="103">
        <v>0</v>
      </c>
      <c r="IL50" s="103">
        <v>90</v>
      </c>
      <c r="IM50" s="103">
        <v>537.4</v>
      </c>
      <c r="IN50" s="103">
        <v>32</v>
      </c>
      <c r="IO50" s="103">
        <v>0</v>
      </c>
      <c r="IP50" s="103">
        <v>0</v>
      </c>
      <c r="IQ50" s="103">
        <v>0</v>
      </c>
      <c r="IR50" s="103">
        <v>10730.9</v>
      </c>
      <c r="IS50" s="103">
        <v>0</v>
      </c>
      <c r="IT50" s="103">
        <v>991</v>
      </c>
      <c r="IU50" s="103">
        <v>1067.5</v>
      </c>
      <c r="IV50" s="103">
        <v>2387.1</v>
      </c>
      <c r="IW50" s="103">
        <v>0</v>
      </c>
      <c r="IX50" s="103">
        <v>0</v>
      </c>
      <c r="IY50" s="103">
        <v>486.5</v>
      </c>
      <c r="IZ50" s="103">
        <v>0</v>
      </c>
      <c r="JA50" s="103">
        <v>119</v>
      </c>
      <c r="JB50" s="103">
        <v>447.8</v>
      </c>
      <c r="JC50" s="103">
        <v>187.20000000000002</v>
      </c>
      <c r="JD50" s="103">
        <v>64</v>
      </c>
      <c r="JE50" s="103"/>
      <c r="JF50" s="103">
        <v>243</v>
      </c>
      <c r="JG50" s="103">
        <v>1039.0999999999999</v>
      </c>
      <c r="JH50" s="103"/>
      <c r="JI50" s="103">
        <v>496.4</v>
      </c>
      <c r="JJ50" s="103"/>
      <c r="JK50" s="103">
        <v>298.2</v>
      </c>
      <c r="JL50" s="103"/>
      <c r="JM50" s="103">
        <v>114.5</v>
      </c>
      <c r="JN50" s="103"/>
      <c r="JO50" s="103"/>
      <c r="JP50" s="103"/>
      <c r="JQ50" s="103"/>
      <c r="JR50" s="103"/>
      <c r="JS50" s="103"/>
      <c r="JT50" s="103">
        <v>621.9</v>
      </c>
      <c r="JU50" s="103"/>
      <c r="JV50" s="103">
        <v>173</v>
      </c>
      <c r="JW50" s="103">
        <v>185</v>
      </c>
      <c r="JX50" s="103"/>
      <c r="JY50" s="103"/>
      <c r="JZ50" s="103">
        <f>2348.4+35</f>
        <v>2383.4</v>
      </c>
      <c r="KA50" s="103">
        <v>1039.0999999999999</v>
      </c>
      <c r="KB50" s="103"/>
      <c r="KC50" s="103">
        <v>110</v>
      </c>
      <c r="KD50" s="103"/>
      <c r="KE50" s="103"/>
      <c r="KF50" s="103"/>
      <c r="KG50" s="103">
        <v>0</v>
      </c>
      <c r="KH50" s="103">
        <v>0</v>
      </c>
      <c r="KI50" s="103">
        <v>163</v>
      </c>
      <c r="KJ50" s="103">
        <v>2490.6</v>
      </c>
      <c r="KK50" s="103">
        <v>0</v>
      </c>
      <c r="KL50" s="103">
        <v>0</v>
      </c>
      <c r="KM50" s="103">
        <v>44</v>
      </c>
      <c r="KN50" s="103">
        <v>249.1</v>
      </c>
      <c r="KO50" s="103">
        <v>103.4</v>
      </c>
      <c r="KP50" s="103">
        <v>0</v>
      </c>
      <c r="KQ50" s="103">
        <v>0</v>
      </c>
      <c r="KR50" s="103">
        <v>3722.1</v>
      </c>
      <c r="KS50" s="103">
        <v>1363.4</v>
      </c>
      <c r="KT50" s="103">
        <v>0</v>
      </c>
      <c r="KU50" s="103">
        <v>0</v>
      </c>
      <c r="KV50" s="103">
        <v>1490.5</v>
      </c>
      <c r="KW50" s="103">
        <v>0</v>
      </c>
      <c r="KX50" s="103">
        <v>679.7</v>
      </c>
      <c r="KY50" s="103">
        <v>135</v>
      </c>
      <c r="KZ50" s="103">
        <v>0</v>
      </c>
      <c r="LA50" s="103">
        <v>206</v>
      </c>
      <c r="LB50" s="103">
        <v>288</v>
      </c>
      <c r="LC50" s="103"/>
      <c r="LD50" s="103"/>
      <c r="LE50" s="103"/>
      <c r="LF50" s="103"/>
      <c r="LG50" s="103"/>
      <c r="LH50" s="103"/>
      <c r="LI50" s="103"/>
      <c r="LJ50" s="103"/>
      <c r="LK50" s="103"/>
      <c r="LL50" s="103">
        <v>181.6</v>
      </c>
      <c r="LM50" s="103"/>
      <c r="LN50" s="103"/>
      <c r="LO50" s="103"/>
      <c r="LP50" s="103">
        <v>78.8</v>
      </c>
      <c r="LQ50" s="103"/>
      <c r="LR50" s="103">
        <v>141.1</v>
      </c>
      <c r="LS50" s="103"/>
      <c r="LT50" s="103">
        <v>222.2</v>
      </c>
      <c r="LU50" s="103"/>
      <c r="LV50" s="103">
        <v>395.5</v>
      </c>
      <c r="LW50" s="103">
        <v>113.5</v>
      </c>
      <c r="LX50" s="103"/>
      <c r="LY50" s="103">
        <v>35</v>
      </c>
      <c r="LZ50" s="103">
        <v>0</v>
      </c>
      <c r="MA50" s="103">
        <v>0</v>
      </c>
      <c r="MB50" s="103">
        <v>24</v>
      </c>
      <c r="MC50" s="103">
        <v>369.8</v>
      </c>
      <c r="MD50" s="103">
        <v>754.5</v>
      </c>
      <c r="ME50" s="103">
        <v>0</v>
      </c>
      <c r="MF50" s="103">
        <v>0</v>
      </c>
      <c r="MG50" s="103">
        <v>0</v>
      </c>
      <c r="MH50" s="103">
        <v>152.70000000000002</v>
      </c>
      <c r="MI50" s="103">
        <v>55</v>
      </c>
      <c r="MJ50" s="103">
        <v>100</v>
      </c>
      <c r="MK50" s="103">
        <v>404</v>
      </c>
      <c r="ML50" s="103">
        <v>136</v>
      </c>
      <c r="MM50" s="103">
        <v>1078.0999999999999</v>
      </c>
      <c r="MN50" s="103">
        <v>0</v>
      </c>
      <c r="MO50" s="103">
        <v>0</v>
      </c>
      <c r="MP50" s="103">
        <v>80</v>
      </c>
      <c r="MQ50" s="103">
        <v>96.8</v>
      </c>
      <c r="MR50" s="103">
        <v>0</v>
      </c>
      <c r="MS50" s="103">
        <v>0</v>
      </c>
      <c r="MT50" s="103">
        <v>0</v>
      </c>
      <c r="MU50" s="103">
        <v>0</v>
      </c>
      <c r="MV50" s="103">
        <v>0</v>
      </c>
      <c r="MW50" s="103">
        <v>647</v>
      </c>
      <c r="MX50" s="103">
        <v>183</v>
      </c>
      <c r="MY50" s="103">
        <v>16</v>
      </c>
      <c r="MZ50" s="103">
        <v>0</v>
      </c>
      <c r="NA50" s="103">
        <v>378.3</v>
      </c>
      <c r="NB50" s="103"/>
      <c r="NC50" s="103"/>
      <c r="ND50" s="103"/>
      <c r="NE50" s="103"/>
      <c r="NF50" s="103">
        <v>103.4</v>
      </c>
      <c r="NG50" s="103">
        <v>31.8</v>
      </c>
      <c r="NH50" s="103">
        <v>53.6</v>
      </c>
      <c r="NI50" s="103">
        <v>293.40000000000003</v>
      </c>
      <c r="NJ50" s="103">
        <v>0</v>
      </c>
      <c r="NK50" s="103">
        <v>208</v>
      </c>
      <c r="NL50" s="103">
        <v>69</v>
      </c>
      <c r="NM50" s="103">
        <v>700.5</v>
      </c>
      <c r="NN50" s="103">
        <v>463.1</v>
      </c>
      <c r="NO50" s="103">
        <v>41.6</v>
      </c>
      <c r="NP50" s="103">
        <v>0</v>
      </c>
      <c r="NQ50" s="103"/>
      <c r="NR50" s="103">
        <v>79</v>
      </c>
      <c r="NS50" s="103"/>
      <c r="NT50" s="103"/>
      <c r="NU50" s="103"/>
      <c r="NV50" s="103">
        <v>0</v>
      </c>
      <c r="NW50" s="103">
        <v>28</v>
      </c>
      <c r="NX50" s="103">
        <v>0</v>
      </c>
      <c r="NY50" s="103">
        <v>417.6</v>
      </c>
      <c r="NZ50" s="103">
        <v>0</v>
      </c>
      <c r="OA50" s="103">
        <v>0</v>
      </c>
      <c r="OB50" s="103"/>
      <c r="OC50" s="103">
        <v>595.20000000000005</v>
      </c>
      <c r="OD50" s="103">
        <v>0</v>
      </c>
      <c r="OE50" s="103">
        <v>210.1</v>
      </c>
      <c r="OF50" s="103">
        <v>893.4</v>
      </c>
      <c r="OG50" s="103">
        <v>468.6</v>
      </c>
      <c r="OH50" s="103">
        <v>372.7</v>
      </c>
      <c r="OI50" s="103">
        <v>0</v>
      </c>
      <c r="OJ50" s="103">
        <v>485</v>
      </c>
      <c r="OK50" s="103">
        <v>69.600000000000009</v>
      </c>
      <c r="OL50" s="103">
        <v>686.5</v>
      </c>
      <c r="OM50" s="103">
        <v>20</v>
      </c>
      <c r="ON50" s="103">
        <v>0</v>
      </c>
      <c r="OO50" s="103">
        <v>151.5</v>
      </c>
      <c r="OP50" s="103">
        <v>476.8</v>
      </c>
      <c r="OQ50" s="103">
        <v>326.40000000000003</v>
      </c>
      <c r="OR50" s="103">
        <v>49.9</v>
      </c>
      <c r="OS50" s="103">
        <v>2793.3</v>
      </c>
      <c r="OT50" s="103">
        <v>425.8</v>
      </c>
      <c r="OU50" s="103">
        <v>1.8</v>
      </c>
      <c r="OV50" s="103">
        <v>179.1</v>
      </c>
      <c r="OW50" s="103">
        <v>30</v>
      </c>
      <c r="OX50" s="103">
        <v>102</v>
      </c>
      <c r="OY50" s="103">
        <v>0</v>
      </c>
      <c r="OZ50" s="103">
        <v>1582</v>
      </c>
      <c r="PA50" s="103">
        <v>235.3</v>
      </c>
      <c r="PB50" s="103">
        <v>1103.2</v>
      </c>
      <c r="PC50" s="103">
        <v>0</v>
      </c>
      <c r="PD50" s="103">
        <v>0</v>
      </c>
      <c r="PE50" s="103">
        <v>0</v>
      </c>
      <c r="PF50" s="103">
        <v>0</v>
      </c>
      <c r="PG50" s="103">
        <v>1021.3000000000001</v>
      </c>
      <c r="PH50" s="103">
        <v>0</v>
      </c>
      <c r="PI50" s="103">
        <v>42.6</v>
      </c>
      <c r="PJ50" s="103">
        <v>550.1</v>
      </c>
      <c r="PK50" s="103">
        <v>245.5</v>
      </c>
      <c r="PL50" s="103">
        <v>0</v>
      </c>
      <c r="PM50" s="103">
        <v>0</v>
      </c>
      <c r="PN50" s="103">
        <v>172</v>
      </c>
      <c r="PO50" s="103">
        <v>1663.8</v>
      </c>
      <c r="PP50" s="103">
        <v>371</v>
      </c>
      <c r="PQ50" s="103">
        <v>610</v>
      </c>
      <c r="PR50" s="103">
        <v>685</v>
      </c>
      <c r="PS50" s="103">
        <v>599.20000000000005</v>
      </c>
      <c r="PT50" s="103">
        <v>186</v>
      </c>
      <c r="PU50" s="103">
        <v>0</v>
      </c>
      <c r="PV50" s="103">
        <v>110.4</v>
      </c>
      <c r="PW50" s="103">
        <v>408.3</v>
      </c>
      <c r="PX50" s="103">
        <v>0</v>
      </c>
      <c r="PY50" s="103">
        <v>144</v>
      </c>
      <c r="PZ50" s="103">
        <v>84.5</v>
      </c>
      <c r="QA50" s="103">
        <v>0</v>
      </c>
      <c r="QB50" s="103">
        <v>16</v>
      </c>
      <c r="QC50" s="103">
        <v>232</v>
      </c>
      <c r="QD50" s="103">
        <v>349</v>
      </c>
      <c r="QE50" s="103">
        <v>499</v>
      </c>
      <c r="QF50" s="103">
        <v>0</v>
      </c>
      <c r="QG50" s="103">
        <v>0</v>
      </c>
      <c r="QH50" s="103">
        <v>0</v>
      </c>
      <c r="QI50" s="103">
        <v>1008</v>
      </c>
      <c r="QJ50" s="103">
        <v>649.80000000000007</v>
      </c>
      <c r="QK50" s="103">
        <v>0</v>
      </c>
      <c r="QL50" s="103">
        <v>203</v>
      </c>
      <c r="QM50" s="103">
        <v>750.2</v>
      </c>
      <c r="QN50" s="103">
        <v>4199.6000000000004</v>
      </c>
      <c r="QO50" s="103"/>
      <c r="QP50" s="103">
        <v>844.4</v>
      </c>
      <c r="QQ50" s="103">
        <v>824.8</v>
      </c>
      <c r="QR50" s="103">
        <v>923.8</v>
      </c>
      <c r="QS50" s="103"/>
      <c r="QT50" s="103">
        <v>240</v>
      </c>
      <c r="QU50" s="103"/>
      <c r="QV50" s="103"/>
      <c r="QW50" s="103"/>
      <c r="QX50" s="103"/>
      <c r="QY50" s="103">
        <v>350</v>
      </c>
      <c r="QZ50" s="103"/>
      <c r="RA50" s="103">
        <v>48</v>
      </c>
      <c r="RB50" s="103">
        <v>222</v>
      </c>
      <c r="RC50" s="103">
        <v>30</v>
      </c>
      <c r="RD50" s="103">
        <v>4903.5</v>
      </c>
      <c r="RE50" s="103"/>
      <c r="RF50" s="103">
        <v>2076</v>
      </c>
      <c r="RG50" s="103">
        <v>135.30000000000001</v>
      </c>
      <c r="RH50" s="103">
        <v>45</v>
      </c>
      <c r="RI50" s="103">
        <v>132</v>
      </c>
      <c r="RJ50" s="103">
        <v>94</v>
      </c>
      <c r="RK50" s="103">
        <v>45</v>
      </c>
      <c r="RL50" s="103"/>
      <c r="RM50" s="103"/>
      <c r="RN50" s="103"/>
    </row>
    <row r="51" spans="1:482" s="60" customFormat="1" ht="11.25" x14ac:dyDescent="0.2">
      <c r="A51" s="125" t="s">
        <v>791</v>
      </c>
      <c r="B51" s="176" t="s">
        <v>874</v>
      </c>
      <c r="C51" s="176"/>
      <c r="D51" s="116">
        <f>SUM(E51:RR51)</f>
        <v>1884389.5999999996</v>
      </c>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v>258719.9</v>
      </c>
      <c r="AD51" s="114"/>
      <c r="AE51" s="114"/>
      <c r="AF51" s="114"/>
      <c r="AG51" s="114">
        <v>20503</v>
      </c>
      <c r="AH51" s="114">
        <v>48213.5</v>
      </c>
      <c r="AI51" s="114">
        <v>11010</v>
      </c>
      <c r="AJ51" s="114"/>
      <c r="AK51" s="114"/>
      <c r="AL51" s="114"/>
      <c r="AM51" s="114"/>
      <c r="AN51" s="114">
        <v>5105.8999999999996</v>
      </c>
      <c r="AO51" s="114"/>
      <c r="AP51" s="114"/>
      <c r="AQ51" s="114"/>
      <c r="AR51" s="114"/>
      <c r="AS51" s="114"/>
      <c r="AT51" s="114"/>
      <c r="AU51" s="114"/>
      <c r="AV51" s="114">
        <v>17050.400000000001</v>
      </c>
      <c r="AW51" s="114"/>
      <c r="AX51" s="114">
        <v>12064.6</v>
      </c>
      <c r="AY51" s="114"/>
      <c r="AZ51" s="114"/>
      <c r="BA51" s="114"/>
      <c r="BB51" s="114"/>
      <c r="BC51" s="114"/>
      <c r="BD51" s="114"/>
      <c r="BE51" s="114"/>
      <c r="BF51" s="114"/>
      <c r="BG51" s="114"/>
      <c r="BH51" s="114"/>
      <c r="BI51" s="114"/>
      <c r="BJ51" s="114">
        <v>2000</v>
      </c>
      <c r="BK51" s="114" t="s">
        <v>943</v>
      </c>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v>463137.8</v>
      </c>
      <c r="CT51" s="103">
        <v>674.8</v>
      </c>
      <c r="CU51" s="103">
        <v>45767.3</v>
      </c>
      <c r="CV51" s="103"/>
      <c r="CW51" s="103"/>
      <c r="CX51" s="103">
        <v>2857.8</v>
      </c>
      <c r="CY51" s="103"/>
      <c r="CZ51" s="103">
        <v>5</v>
      </c>
      <c r="DA51" s="103">
        <v>38373.599999999999</v>
      </c>
      <c r="DB51" s="103">
        <v>9212</v>
      </c>
      <c r="DC51" s="103">
        <v>460</v>
      </c>
      <c r="DD51" s="103"/>
      <c r="DE51" s="103"/>
      <c r="DF51" s="103"/>
      <c r="DG51" s="103"/>
      <c r="DH51" s="103"/>
      <c r="DI51" s="103">
        <v>6387.4</v>
      </c>
      <c r="DJ51" s="103"/>
      <c r="DK51" s="103"/>
      <c r="DL51" s="103"/>
      <c r="DM51" s="103"/>
      <c r="DN51" s="103"/>
      <c r="DO51" s="103"/>
      <c r="DP51" s="103">
        <v>2014.1</v>
      </c>
      <c r="DQ51" s="103"/>
      <c r="DR51" s="103"/>
      <c r="DS51" s="103"/>
      <c r="DT51" s="103">
        <v>261.5</v>
      </c>
      <c r="DU51" s="103">
        <f>3265.9+730.1</f>
        <v>3996</v>
      </c>
      <c r="DV51" s="103"/>
      <c r="DW51" s="103">
        <f>380+4033.2</f>
        <v>4413.2</v>
      </c>
      <c r="DX51" s="116"/>
      <c r="DY51" s="103"/>
      <c r="DZ51" s="103"/>
      <c r="EA51" s="103"/>
      <c r="EB51" s="103"/>
      <c r="EC51" s="103"/>
      <c r="ED51" s="103">
        <v>260.7</v>
      </c>
      <c r="EE51" s="103"/>
      <c r="EF51" s="103"/>
      <c r="EG51" s="103">
        <v>11446.2</v>
      </c>
      <c r="EH51" s="103">
        <v>2093.1999999999998</v>
      </c>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v>7172.5</v>
      </c>
      <c r="GC51" s="103"/>
      <c r="GD51" s="103"/>
      <c r="GE51" s="103"/>
      <c r="GF51" s="103"/>
      <c r="GG51" s="103"/>
      <c r="GH51" s="103">
        <v>6157.5</v>
      </c>
      <c r="GI51" s="103">
        <v>64505.7</v>
      </c>
      <c r="GJ51" s="103"/>
      <c r="GK51" s="103"/>
      <c r="GL51" s="103"/>
      <c r="GM51" s="103"/>
      <c r="GN51" s="103">
        <v>491.8</v>
      </c>
      <c r="GO51" s="103">
        <v>951</v>
      </c>
      <c r="GP51" s="103"/>
      <c r="GQ51" s="103"/>
      <c r="GR51" s="103">
        <v>400</v>
      </c>
      <c r="GS51" s="103"/>
      <c r="GT51" s="103"/>
      <c r="GU51" s="103"/>
      <c r="GV51" s="103"/>
      <c r="GW51" s="103"/>
      <c r="GX51" s="103"/>
      <c r="GY51" s="103"/>
      <c r="GZ51" s="103"/>
      <c r="HA51" s="103"/>
      <c r="HB51" s="103"/>
      <c r="HC51" s="103"/>
      <c r="HD51" s="103"/>
      <c r="HE51" s="103"/>
      <c r="HF51" s="103"/>
      <c r="HG51" s="103"/>
      <c r="HH51" s="103"/>
      <c r="HI51" s="103"/>
      <c r="HJ51" s="103"/>
      <c r="HK51" s="103"/>
      <c r="HL51" s="103"/>
      <c r="HM51" s="103">
        <v>37400</v>
      </c>
      <c r="HN51" s="103">
        <v>39848.800000000003</v>
      </c>
      <c r="HO51" s="103"/>
      <c r="HP51" s="103"/>
      <c r="HQ51" s="103"/>
      <c r="HR51" s="103"/>
      <c r="HS51" s="103">
        <v>136.5</v>
      </c>
      <c r="HT51" s="103">
        <v>16425.8</v>
      </c>
      <c r="HU51" s="103"/>
      <c r="HV51" s="103">
        <v>966</v>
      </c>
      <c r="HW51" s="103"/>
      <c r="HX51" s="103"/>
      <c r="HY51" s="103">
        <v>7656.7</v>
      </c>
      <c r="HZ51" s="103"/>
      <c r="IA51" s="103"/>
      <c r="IB51" s="103"/>
      <c r="IC51" s="103"/>
      <c r="ID51" s="103"/>
      <c r="IE51" s="103"/>
      <c r="IF51" s="103"/>
      <c r="IG51" s="103"/>
      <c r="IH51" s="103"/>
      <c r="II51" s="103"/>
      <c r="IJ51" s="103">
        <v>7051.8</v>
      </c>
      <c r="IK51" s="103"/>
      <c r="IL51" s="103"/>
      <c r="IM51" s="103"/>
      <c r="IN51" s="103"/>
      <c r="IO51" s="103"/>
      <c r="IP51" s="103"/>
      <c r="IQ51" s="103"/>
      <c r="IR51" s="103"/>
      <c r="IS51" s="103"/>
      <c r="IT51" s="103"/>
      <c r="IU51" s="103"/>
      <c r="IV51" s="103"/>
      <c r="IW51" s="103"/>
      <c r="IX51" s="103"/>
      <c r="IY51" s="103"/>
      <c r="IZ51" s="103"/>
      <c r="JA51" s="103"/>
      <c r="JB51" s="103"/>
      <c r="JC51" s="103"/>
      <c r="JD51" s="103">
        <v>11693.4</v>
      </c>
      <c r="JE51" s="103"/>
      <c r="JF51" s="103">
        <v>2340.1999999999998</v>
      </c>
      <c r="JG51" s="103">
        <v>10550.7</v>
      </c>
      <c r="JH51" s="103">
        <v>424.3</v>
      </c>
      <c r="JI51" s="103">
        <f>1784.3+120</f>
        <v>1904.3</v>
      </c>
      <c r="JJ51" s="103"/>
      <c r="JK51" s="103">
        <v>6466.2</v>
      </c>
      <c r="JL51" s="103"/>
      <c r="JM51" s="103"/>
      <c r="JN51" s="103"/>
      <c r="JO51" s="103"/>
      <c r="JP51" s="103"/>
      <c r="JQ51" s="103"/>
      <c r="JR51" s="103"/>
      <c r="JS51" s="103"/>
      <c r="JT51" s="103"/>
      <c r="JU51" s="103"/>
      <c r="JV51" s="103"/>
      <c r="JW51" s="103">
        <v>519</v>
      </c>
      <c r="JX51" s="103">
        <v>647.5</v>
      </c>
      <c r="JY51" s="103"/>
      <c r="JZ51" s="103"/>
      <c r="KA51" s="103">
        <v>1300</v>
      </c>
      <c r="KB51" s="103"/>
      <c r="KC51" s="103">
        <v>977</v>
      </c>
      <c r="KD51" s="103"/>
      <c r="KE51" s="103"/>
      <c r="KF51" s="103"/>
      <c r="KG51" s="103"/>
      <c r="KH51" s="103"/>
      <c r="KI51" s="103"/>
      <c r="KJ51" s="103"/>
      <c r="KK51" s="103"/>
      <c r="KL51" s="103"/>
      <c r="KM51" s="103"/>
      <c r="KN51" s="103"/>
      <c r="KO51" s="103"/>
      <c r="KP51" s="103"/>
      <c r="KQ51" s="103"/>
      <c r="KR51" s="103">
        <v>107757.90000000001</v>
      </c>
      <c r="KS51" s="103"/>
      <c r="KT51" s="103"/>
      <c r="KU51" s="103">
        <v>3621.4</v>
      </c>
      <c r="KV51" s="103">
        <v>2083.5</v>
      </c>
      <c r="KW51" s="103"/>
      <c r="KX51" s="103"/>
      <c r="KY51" s="103"/>
      <c r="KZ51" s="103"/>
      <c r="LA51" s="103">
        <v>1726.8</v>
      </c>
      <c r="LB51" s="103"/>
      <c r="LC51" s="103"/>
      <c r="LD51" s="103"/>
      <c r="LE51" s="103"/>
      <c r="LF51" s="103"/>
      <c r="LG51" s="103"/>
      <c r="LH51" s="103"/>
      <c r="LI51" s="103">
        <v>470</v>
      </c>
      <c r="LJ51" s="103"/>
      <c r="LK51" s="103">
        <v>348</v>
      </c>
      <c r="LL51" s="103">
        <v>360</v>
      </c>
      <c r="LM51" s="103"/>
      <c r="LN51" s="103"/>
      <c r="LO51" s="103">
        <v>585</v>
      </c>
      <c r="LP51" s="103">
        <v>4249.3999999999996</v>
      </c>
      <c r="LQ51" s="103">
        <v>7867.4</v>
      </c>
      <c r="LR51" s="103"/>
      <c r="LS51" s="103"/>
      <c r="LT51" s="103"/>
      <c r="LU51" s="103"/>
      <c r="LV51" s="103">
        <f>16706.2+13732.4</f>
        <v>30438.6</v>
      </c>
      <c r="LW51" s="103">
        <v>6881.4</v>
      </c>
      <c r="LX51" s="103"/>
      <c r="LY51" s="103"/>
      <c r="LZ51" s="103"/>
      <c r="MA51" s="103"/>
      <c r="MB51" s="103"/>
      <c r="MC51" s="103"/>
      <c r="MD51" s="103"/>
      <c r="ME51" s="103"/>
      <c r="MF51" s="103"/>
      <c r="MG51" s="103"/>
      <c r="MH51" s="103"/>
      <c r="MI51" s="103"/>
      <c r="MJ51" s="103"/>
      <c r="MK51" s="103"/>
      <c r="ML51" s="103"/>
      <c r="MM51" s="103"/>
      <c r="MN51" s="103"/>
      <c r="MO51" s="103"/>
      <c r="MP51" s="103"/>
      <c r="MQ51" s="103"/>
      <c r="MR51" s="103"/>
      <c r="MS51" s="103"/>
      <c r="MT51" s="103"/>
      <c r="MU51" s="103"/>
      <c r="MV51" s="103"/>
      <c r="MW51" s="103"/>
      <c r="MX51" s="103"/>
      <c r="MY51" s="103"/>
      <c r="MZ51" s="103"/>
      <c r="NA51" s="103"/>
      <c r="NB51" s="103"/>
      <c r="NC51" s="103"/>
      <c r="ND51" s="103"/>
      <c r="NE51" s="103"/>
      <c r="NF51" s="103">
        <v>35627.199999999997</v>
      </c>
      <c r="NG51" s="103"/>
      <c r="NH51" s="103"/>
      <c r="NI51" s="103"/>
      <c r="NJ51" s="103"/>
      <c r="NK51" s="103"/>
      <c r="NL51" s="103"/>
      <c r="NM51" s="103"/>
      <c r="NN51" s="103"/>
      <c r="NO51" s="103"/>
      <c r="NP51" s="103"/>
      <c r="NQ51" s="103"/>
      <c r="NR51" s="103">
        <v>136.80000000000001</v>
      </c>
      <c r="NS51" s="103"/>
      <c r="NT51" s="103">
        <v>278.10000000000002</v>
      </c>
      <c r="NU51" s="103"/>
      <c r="NV51" s="103"/>
      <c r="NW51" s="103"/>
      <c r="NX51" s="103"/>
      <c r="NY51" s="103"/>
      <c r="NZ51" s="103"/>
      <c r="OA51" s="103"/>
      <c r="OB51" s="103"/>
      <c r="OC51" s="103">
        <v>29209.1</v>
      </c>
      <c r="OD51" s="103"/>
      <c r="OE51" s="103"/>
      <c r="OF51" s="103"/>
      <c r="OG51" s="103"/>
      <c r="OH51" s="103"/>
      <c r="OI51" s="103"/>
      <c r="OJ51" s="103"/>
      <c r="OK51" s="103"/>
      <c r="OL51" s="103"/>
      <c r="OM51" s="103"/>
      <c r="ON51" s="103"/>
      <c r="OO51" s="103"/>
      <c r="OP51" s="103">
        <v>2493.9</v>
      </c>
      <c r="OQ51" s="103"/>
      <c r="OR51" s="103"/>
      <c r="OS51" s="103"/>
      <c r="OT51" s="103"/>
      <c r="OU51" s="103"/>
      <c r="OV51" s="103"/>
      <c r="OW51" s="103"/>
      <c r="OX51" s="103"/>
      <c r="OY51" s="103"/>
      <c r="OZ51" s="103"/>
      <c r="PA51" s="103"/>
      <c r="PB51" s="103"/>
      <c r="PC51" s="103"/>
      <c r="PD51" s="103"/>
      <c r="PE51" s="103"/>
      <c r="PF51" s="103"/>
      <c r="PG51" s="103">
        <v>391755.5</v>
      </c>
      <c r="PH51" s="103"/>
      <c r="PI51" s="103"/>
      <c r="PJ51" s="103"/>
      <c r="PK51" s="103"/>
      <c r="PL51" s="103"/>
      <c r="PM51" s="103"/>
      <c r="PN51" s="103"/>
      <c r="PO51" s="103"/>
      <c r="PP51" s="103"/>
      <c r="PQ51" s="103"/>
      <c r="PR51" s="103"/>
      <c r="PS51" s="103"/>
      <c r="PT51" s="103"/>
      <c r="PU51" s="103"/>
      <c r="PV51" s="103"/>
      <c r="PW51" s="103"/>
      <c r="PX51" s="103"/>
      <c r="PY51" s="103"/>
      <c r="PZ51" s="103"/>
      <c r="QA51" s="103"/>
      <c r="QB51" s="103"/>
      <c r="QC51" s="103"/>
      <c r="QD51" s="103"/>
      <c r="QE51" s="103"/>
      <c r="QF51" s="103"/>
      <c r="QG51" s="103"/>
      <c r="QH51" s="103"/>
      <c r="QI51" s="103"/>
      <c r="QJ51" s="103"/>
      <c r="QK51" s="103"/>
      <c r="QL51" s="103"/>
      <c r="QM51" s="103"/>
      <c r="QN51" s="103">
        <v>5954.8</v>
      </c>
      <c r="QO51" s="103">
        <v>8474.7999999999993</v>
      </c>
      <c r="QP51" s="103"/>
      <c r="QQ51" s="103">
        <v>39422.199999999997</v>
      </c>
      <c r="QR51" s="103">
        <v>12633.2</v>
      </c>
      <c r="QS51" s="103"/>
      <c r="QT51" s="103"/>
      <c r="QU51" s="103"/>
      <c r="QV51" s="103"/>
      <c r="QW51" s="103"/>
      <c r="QX51" s="103"/>
      <c r="QY51" s="103"/>
      <c r="QZ51" s="103"/>
      <c r="RA51" s="103"/>
      <c r="RB51" s="103"/>
      <c r="RC51" s="103"/>
      <c r="RD51" s="103"/>
      <c r="RE51" s="103"/>
      <c r="RF51" s="103"/>
      <c r="RG51" s="103"/>
      <c r="RH51" s="103"/>
      <c r="RI51" s="103"/>
      <c r="RJ51" s="103"/>
      <c r="RK51" s="103"/>
      <c r="RL51" s="103"/>
      <c r="RM51" s="103"/>
      <c r="RN51" s="103"/>
    </row>
    <row r="52" spans="1:482" s="60" customFormat="1" ht="11.25" customHeight="1" x14ac:dyDescent="0.2">
      <c r="A52" s="176" t="s">
        <v>875</v>
      </c>
      <c r="B52" s="176"/>
      <c r="C52" s="176"/>
      <c r="D52" s="156">
        <f>SUM(D53:D59)</f>
        <v>5637750</v>
      </c>
      <c r="E52" s="114">
        <f t="shared" ref="E52:AI52" si="227">SUM(E53:E59)</f>
        <v>0</v>
      </c>
      <c r="F52" s="114">
        <f t="shared" si="227"/>
        <v>545.4</v>
      </c>
      <c r="G52" s="114">
        <f t="shared" si="227"/>
        <v>1199.5</v>
      </c>
      <c r="H52" s="114">
        <f t="shared" si="227"/>
        <v>91125</v>
      </c>
      <c r="I52" s="114">
        <f t="shared" si="227"/>
        <v>10425</v>
      </c>
      <c r="J52" s="114">
        <f t="shared" si="227"/>
        <v>52150</v>
      </c>
      <c r="K52" s="114">
        <f t="shared" si="227"/>
        <v>0</v>
      </c>
      <c r="L52" s="114">
        <f t="shared" si="227"/>
        <v>13897.7</v>
      </c>
      <c r="M52" s="114">
        <f t="shared" si="227"/>
        <v>828.9</v>
      </c>
      <c r="N52" s="114">
        <f t="shared" si="227"/>
        <v>799</v>
      </c>
      <c r="O52" s="114">
        <f t="shared" si="227"/>
        <v>2902.5</v>
      </c>
      <c r="P52" s="114">
        <f t="shared" si="227"/>
        <v>17344.900000000001</v>
      </c>
      <c r="Q52" s="114">
        <f t="shared" si="227"/>
        <v>0</v>
      </c>
      <c r="R52" s="114">
        <f t="shared" si="227"/>
        <v>119057</v>
      </c>
      <c r="S52" s="114">
        <f t="shared" si="227"/>
        <v>4896</v>
      </c>
      <c r="T52" s="114">
        <f t="shared" si="227"/>
        <v>11757.1</v>
      </c>
      <c r="U52" s="114">
        <f t="shared" si="227"/>
        <v>0</v>
      </c>
      <c r="V52" s="114">
        <f t="shared" si="227"/>
        <v>0</v>
      </c>
      <c r="W52" s="114">
        <f t="shared" si="227"/>
        <v>0</v>
      </c>
      <c r="X52" s="114">
        <f t="shared" si="227"/>
        <v>68996.899999999994</v>
      </c>
      <c r="Y52" s="114">
        <f t="shared" si="227"/>
        <v>0</v>
      </c>
      <c r="Z52" s="114">
        <f t="shared" si="227"/>
        <v>0</v>
      </c>
      <c r="AA52" s="114">
        <f t="shared" si="227"/>
        <v>0</v>
      </c>
      <c r="AB52" s="114">
        <f t="shared" si="227"/>
        <v>0</v>
      </c>
      <c r="AC52" s="114">
        <f t="shared" si="227"/>
        <v>215402.69999999998</v>
      </c>
      <c r="AD52" s="114">
        <f t="shared" si="227"/>
        <v>0</v>
      </c>
      <c r="AE52" s="114">
        <f t="shared" si="227"/>
        <v>1563725.3</v>
      </c>
      <c r="AF52" s="114">
        <f t="shared" si="227"/>
        <v>0</v>
      </c>
      <c r="AG52" s="114">
        <f t="shared" si="227"/>
        <v>45858.1</v>
      </c>
      <c r="AH52" s="114">
        <f t="shared" si="227"/>
        <v>33503.9</v>
      </c>
      <c r="AI52" s="114">
        <f t="shared" si="227"/>
        <v>11953.2</v>
      </c>
      <c r="AJ52" s="114">
        <f t="shared" ref="AJ52:BJ52" si="228">SUM(AJ53:AJ59)</f>
        <v>893989.5</v>
      </c>
      <c r="AK52" s="114">
        <f t="shared" si="228"/>
        <v>20581.7</v>
      </c>
      <c r="AL52" s="114">
        <f t="shared" si="228"/>
        <v>0</v>
      </c>
      <c r="AM52" s="114">
        <f t="shared" si="228"/>
        <v>23720</v>
      </c>
      <c r="AN52" s="114">
        <f t="shared" si="228"/>
        <v>3200.4</v>
      </c>
      <c r="AO52" s="114">
        <f t="shared" si="228"/>
        <v>8636.9</v>
      </c>
      <c r="AP52" s="114">
        <f t="shared" si="228"/>
        <v>30489.5</v>
      </c>
      <c r="AQ52" s="114">
        <f t="shared" si="228"/>
        <v>55047</v>
      </c>
      <c r="AR52" s="114">
        <f t="shared" si="228"/>
        <v>0</v>
      </c>
      <c r="AS52" s="114">
        <f t="shared" si="228"/>
        <v>0</v>
      </c>
      <c r="AT52" s="114">
        <f t="shared" si="228"/>
        <v>490140.9</v>
      </c>
      <c r="AU52" s="114">
        <f t="shared" si="228"/>
        <v>0</v>
      </c>
      <c r="AV52" s="114">
        <f t="shared" si="228"/>
        <v>7809.3</v>
      </c>
      <c r="AW52" s="114">
        <f t="shared" si="228"/>
        <v>4665.3</v>
      </c>
      <c r="AX52" s="114">
        <f t="shared" si="228"/>
        <v>8459.2000000000007</v>
      </c>
      <c r="AY52" s="114">
        <f t="shared" si="228"/>
        <v>0</v>
      </c>
      <c r="AZ52" s="114">
        <f t="shared" si="228"/>
        <v>8256.7000000000007</v>
      </c>
      <c r="BA52" s="114">
        <f t="shared" si="228"/>
        <v>4545.1000000000004</v>
      </c>
      <c r="BB52" s="114">
        <f t="shared" si="228"/>
        <v>5595.5</v>
      </c>
      <c r="BC52" s="114">
        <f t="shared" si="228"/>
        <v>31351.3</v>
      </c>
      <c r="BD52" s="114">
        <f t="shared" si="228"/>
        <v>2000</v>
      </c>
      <c r="BE52" s="114">
        <f t="shared" si="228"/>
        <v>201842.1</v>
      </c>
      <c r="BF52" s="114">
        <f t="shared" si="228"/>
        <v>0</v>
      </c>
      <c r="BG52" s="114">
        <f t="shared" si="228"/>
        <v>0</v>
      </c>
      <c r="BH52" s="114">
        <f t="shared" si="228"/>
        <v>0</v>
      </c>
      <c r="BI52" s="114">
        <f t="shared" si="228"/>
        <v>5038.2</v>
      </c>
      <c r="BJ52" s="114">
        <f t="shared" si="228"/>
        <v>3641</v>
      </c>
      <c r="BK52" s="114" t="s">
        <v>944</v>
      </c>
      <c r="BL52" s="99">
        <f t="shared" ref="BL52:BO52" si="229">SUM(BL53:BL59)</f>
        <v>180</v>
      </c>
      <c r="BM52" s="99">
        <f t="shared" si="229"/>
        <v>0</v>
      </c>
      <c r="BN52" s="99">
        <f t="shared" si="229"/>
        <v>0</v>
      </c>
      <c r="BO52" s="99">
        <f t="shared" si="229"/>
        <v>0</v>
      </c>
      <c r="BP52" s="99">
        <v>400</v>
      </c>
      <c r="BQ52" s="99">
        <f t="shared" ref="BQ52:CV52" si="230">SUM(BQ53:BQ59)</f>
        <v>0</v>
      </c>
      <c r="BR52" s="99">
        <f t="shared" si="230"/>
        <v>136.19999999999999</v>
      </c>
      <c r="BS52" s="99">
        <f t="shared" si="230"/>
        <v>616</v>
      </c>
      <c r="BT52" s="99">
        <f t="shared" si="230"/>
        <v>0</v>
      </c>
      <c r="BU52" s="99">
        <f t="shared" si="230"/>
        <v>0</v>
      </c>
      <c r="BV52" s="99">
        <f t="shared" si="230"/>
        <v>0</v>
      </c>
      <c r="BW52" s="99">
        <f t="shared" si="230"/>
        <v>134.19999999999999</v>
      </c>
      <c r="BX52" s="99">
        <f t="shared" si="230"/>
        <v>1641</v>
      </c>
      <c r="BY52" s="99">
        <f t="shared" si="230"/>
        <v>23184.2</v>
      </c>
      <c r="BZ52" s="99">
        <f t="shared" si="230"/>
        <v>7547.5</v>
      </c>
      <c r="CA52" s="99">
        <f t="shared" si="230"/>
        <v>0</v>
      </c>
      <c r="CB52" s="99">
        <f t="shared" si="230"/>
        <v>0</v>
      </c>
      <c r="CC52" s="99">
        <f t="shared" si="230"/>
        <v>4476.3</v>
      </c>
      <c r="CD52" s="99">
        <f t="shared" si="230"/>
        <v>0</v>
      </c>
      <c r="CE52" s="99">
        <f t="shared" si="230"/>
        <v>0</v>
      </c>
      <c r="CF52" s="99">
        <f t="shared" si="230"/>
        <v>0</v>
      </c>
      <c r="CG52" s="99">
        <f t="shared" si="230"/>
        <v>0</v>
      </c>
      <c r="CH52" s="99">
        <f t="shared" si="230"/>
        <v>6062.4</v>
      </c>
      <c r="CI52" s="99">
        <f t="shared" si="230"/>
        <v>0</v>
      </c>
      <c r="CJ52" s="99">
        <f t="shared" si="230"/>
        <v>0</v>
      </c>
      <c r="CK52" s="99">
        <f t="shared" si="230"/>
        <v>600</v>
      </c>
      <c r="CL52" s="99">
        <f t="shared" si="230"/>
        <v>0</v>
      </c>
      <c r="CM52" s="99">
        <f t="shared" si="230"/>
        <v>28954</v>
      </c>
      <c r="CN52" s="99">
        <f t="shared" si="230"/>
        <v>0</v>
      </c>
      <c r="CO52" s="99">
        <f t="shared" si="230"/>
        <v>0</v>
      </c>
      <c r="CP52" s="99">
        <f t="shared" si="230"/>
        <v>0</v>
      </c>
      <c r="CQ52" s="99">
        <f t="shared" si="230"/>
        <v>0</v>
      </c>
      <c r="CR52" s="99">
        <f t="shared" si="230"/>
        <v>0</v>
      </c>
      <c r="CS52" s="99">
        <f t="shared" si="230"/>
        <v>51051</v>
      </c>
      <c r="CT52" s="99">
        <f t="shared" si="230"/>
        <v>0</v>
      </c>
      <c r="CU52" s="99">
        <f t="shared" si="230"/>
        <v>0</v>
      </c>
      <c r="CV52" s="99">
        <f t="shared" si="230"/>
        <v>0</v>
      </c>
      <c r="CW52" s="99">
        <f t="shared" ref="CW52:EB52" si="231">SUM(CW53:CW59)</f>
        <v>0</v>
      </c>
      <c r="CX52" s="99">
        <f t="shared" si="231"/>
        <v>0</v>
      </c>
      <c r="CY52" s="99">
        <f t="shared" si="231"/>
        <v>0</v>
      </c>
      <c r="CZ52" s="99">
        <f t="shared" si="231"/>
        <v>0</v>
      </c>
      <c r="DA52" s="99">
        <f t="shared" si="231"/>
        <v>0</v>
      </c>
      <c r="DB52" s="99">
        <f t="shared" si="231"/>
        <v>0</v>
      </c>
      <c r="DC52" s="99">
        <f t="shared" si="231"/>
        <v>0</v>
      </c>
      <c r="DD52" s="99">
        <f t="shared" si="231"/>
        <v>0</v>
      </c>
      <c r="DE52" s="99">
        <f t="shared" si="231"/>
        <v>0</v>
      </c>
      <c r="DF52" s="99">
        <f t="shared" si="231"/>
        <v>10661.6</v>
      </c>
      <c r="DG52" s="99">
        <f t="shared" si="231"/>
        <v>0</v>
      </c>
      <c r="DH52" s="99">
        <f t="shared" si="231"/>
        <v>0</v>
      </c>
      <c r="DI52" s="99">
        <f t="shared" si="231"/>
        <v>0</v>
      </c>
      <c r="DJ52" s="99">
        <f t="shared" si="231"/>
        <v>0</v>
      </c>
      <c r="DK52" s="99">
        <f t="shared" si="231"/>
        <v>0</v>
      </c>
      <c r="DL52" s="99">
        <f t="shared" si="231"/>
        <v>0</v>
      </c>
      <c r="DM52" s="99">
        <f t="shared" si="231"/>
        <v>0</v>
      </c>
      <c r="DN52" s="99">
        <f t="shared" si="231"/>
        <v>0</v>
      </c>
      <c r="DO52" s="99">
        <f t="shared" si="231"/>
        <v>0</v>
      </c>
      <c r="DP52" s="99">
        <f t="shared" si="231"/>
        <v>297.39999999999998</v>
      </c>
      <c r="DQ52" s="99">
        <f t="shared" si="231"/>
        <v>0</v>
      </c>
      <c r="DR52" s="99">
        <f t="shared" si="231"/>
        <v>0</v>
      </c>
      <c r="DS52" s="99">
        <f t="shared" si="231"/>
        <v>18051.599999999999</v>
      </c>
      <c r="DT52" s="99">
        <f t="shared" si="231"/>
        <v>800</v>
      </c>
      <c r="DU52" s="99">
        <f t="shared" si="231"/>
        <v>2189.1</v>
      </c>
      <c r="DV52" s="99">
        <f t="shared" si="231"/>
        <v>37878.699999999997</v>
      </c>
      <c r="DW52" s="99">
        <f t="shared" si="231"/>
        <v>6520</v>
      </c>
      <c r="DX52" s="102">
        <f t="shared" si="231"/>
        <v>0</v>
      </c>
      <c r="DY52" s="99">
        <f t="shared" si="231"/>
        <v>0</v>
      </c>
      <c r="DZ52" s="99">
        <f t="shared" si="231"/>
        <v>0</v>
      </c>
      <c r="EA52" s="99">
        <f t="shared" si="231"/>
        <v>0</v>
      </c>
      <c r="EB52" s="99">
        <f t="shared" si="231"/>
        <v>0</v>
      </c>
      <c r="EC52" s="99">
        <f t="shared" ref="EC52:EV52" si="232">SUM(EC53:EC59)</f>
        <v>0</v>
      </c>
      <c r="ED52" s="99">
        <f t="shared" si="232"/>
        <v>0</v>
      </c>
      <c r="EE52" s="99">
        <f t="shared" si="232"/>
        <v>0</v>
      </c>
      <c r="EF52" s="99">
        <f t="shared" si="232"/>
        <v>0</v>
      </c>
      <c r="EG52" s="99">
        <f t="shared" si="232"/>
        <v>0</v>
      </c>
      <c r="EH52" s="99">
        <f t="shared" si="232"/>
        <v>0</v>
      </c>
      <c r="EI52" s="99">
        <f t="shared" si="232"/>
        <v>554086</v>
      </c>
      <c r="EJ52" s="99">
        <f t="shared" si="232"/>
        <v>0</v>
      </c>
      <c r="EK52" s="99">
        <f>SUM(EK53:EK59)</f>
        <v>0</v>
      </c>
      <c r="EL52" s="99">
        <f t="shared" si="232"/>
        <v>19.900000000000002</v>
      </c>
      <c r="EM52" s="99">
        <f t="shared" si="232"/>
        <v>0</v>
      </c>
      <c r="EN52" s="99">
        <f t="shared" si="232"/>
        <v>0</v>
      </c>
      <c r="EO52" s="99">
        <f t="shared" si="232"/>
        <v>0</v>
      </c>
      <c r="EP52" s="99">
        <f t="shared" si="232"/>
        <v>0</v>
      </c>
      <c r="EQ52" s="99">
        <f t="shared" si="232"/>
        <v>1481.8</v>
      </c>
      <c r="ER52" s="99">
        <f t="shared" si="232"/>
        <v>560.20000000000005</v>
      </c>
      <c r="ES52" s="99">
        <f t="shared" si="232"/>
        <v>0</v>
      </c>
      <c r="ET52" s="99">
        <f t="shared" si="232"/>
        <v>2000</v>
      </c>
      <c r="EU52" s="99">
        <f t="shared" si="232"/>
        <v>0</v>
      </c>
      <c r="EV52" s="99">
        <f t="shared" si="232"/>
        <v>640</v>
      </c>
      <c r="EW52" s="99">
        <f t="shared" ref="EW52:OV52" si="233">SUM(EW53:EW59)</f>
        <v>0</v>
      </c>
      <c r="EX52" s="99">
        <f t="shared" si="233"/>
        <v>0</v>
      </c>
      <c r="EY52" s="99">
        <f t="shared" si="233"/>
        <v>0</v>
      </c>
      <c r="EZ52" s="99">
        <f>SUM(EZ53:EZ59)</f>
        <v>0</v>
      </c>
      <c r="FA52" s="99">
        <f>SUM(FA53:FA59)</f>
        <v>0</v>
      </c>
      <c r="FB52" s="99">
        <f>SUM(FB53:FB59)</f>
        <v>0</v>
      </c>
      <c r="FC52" s="99">
        <f>SUM(FC53:FC59)</f>
        <v>0</v>
      </c>
      <c r="FD52" s="99">
        <f t="shared" si="233"/>
        <v>0</v>
      </c>
      <c r="FE52" s="99">
        <f t="shared" si="233"/>
        <v>0</v>
      </c>
      <c r="FF52" s="99">
        <f t="shared" ref="FF52:GR52" si="234">SUM(FF53:FF59)</f>
        <v>0</v>
      </c>
      <c r="FG52" s="99">
        <f t="shared" si="234"/>
        <v>0</v>
      </c>
      <c r="FH52" s="99">
        <f t="shared" si="234"/>
        <v>0</v>
      </c>
      <c r="FI52" s="99">
        <f t="shared" si="234"/>
        <v>0</v>
      </c>
      <c r="FJ52" s="99">
        <f t="shared" si="234"/>
        <v>0</v>
      </c>
      <c r="FK52" s="99">
        <f t="shared" si="234"/>
        <v>0</v>
      </c>
      <c r="FL52" s="99">
        <f t="shared" si="234"/>
        <v>0</v>
      </c>
      <c r="FM52" s="99">
        <f t="shared" si="234"/>
        <v>838</v>
      </c>
      <c r="FN52" s="99">
        <f t="shared" si="234"/>
        <v>0</v>
      </c>
      <c r="FO52" s="99">
        <f t="shared" si="234"/>
        <v>0</v>
      </c>
      <c r="FP52" s="99">
        <f t="shared" si="234"/>
        <v>12847.8</v>
      </c>
      <c r="FQ52" s="99">
        <f t="shared" si="234"/>
        <v>0</v>
      </c>
      <c r="FR52" s="99">
        <f t="shared" si="234"/>
        <v>2383.6</v>
      </c>
      <c r="FS52" s="99">
        <f t="shared" si="234"/>
        <v>0</v>
      </c>
      <c r="FT52" s="99">
        <f t="shared" si="234"/>
        <v>0</v>
      </c>
      <c r="FU52" s="99">
        <f t="shared" si="234"/>
        <v>0</v>
      </c>
      <c r="FV52" s="99">
        <f t="shared" si="234"/>
        <v>15917.3</v>
      </c>
      <c r="FW52" s="99">
        <f t="shared" si="234"/>
        <v>0</v>
      </c>
      <c r="FX52" s="99">
        <f t="shared" si="234"/>
        <v>0</v>
      </c>
      <c r="FY52" s="99">
        <f t="shared" si="234"/>
        <v>0</v>
      </c>
      <c r="FZ52" s="99">
        <f t="shared" si="234"/>
        <v>0</v>
      </c>
      <c r="GA52" s="99">
        <f t="shared" si="234"/>
        <v>1000</v>
      </c>
      <c r="GB52" s="99">
        <f t="shared" si="234"/>
        <v>0</v>
      </c>
      <c r="GC52" s="99">
        <f t="shared" si="234"/>
        <v>240.5</v>
      </c>
      <c r="GD52" s="99">
        <f t="shared" si="234"/>
        <v>4235</v>
      </c>
      <c r="GE52" s="99">
        <f t="shared" si="234"/>
        <v>0</v>
      </c>
      <c r="GF52" s="99">
        <f t="shared" si="234"/>
        <v>0</v>
      </c>
      <c r="GG52" s="99">
        <f t="shared" si="234"/>
        <v>0</v>
      </c>
      <c r="GH52" s="99">
        <f t="shared" si="234"/>
        <v>4816</v>
      </c>
      <c r="GI52" s="99">
        <f t="shared" si="234"/>
        <v>0</v>
      </c>
      <c r="GJ52" s="99">
        <f t="shared" si="234"/>
        <v>1970</v>
      </c>
      <c r="GK52" s="99">
        <f t="shared" si="234"/>
        <v>0</v>
      </c>
      <c r="GL52" s="99">
        <f t="shared" si="234"/>
        <v>0</v>
      </c>
      <c r="GM52" s="99">
        <f t="shared" si="234"/>
        <v>7216</v>
      </c>
      <c r="GN52" s="99">
        <f t="shared" si="234"/>
        <v>0</v>
      </c>
      <c r="GO52" s="99">
        <f t="shared" si="234"/>
        <v>0</v>
      </c>
      <c r="GP52" s="99">
        <f t="shared" si="234"/>
        <v>0</v>
      </c>
      <c r="GQ52" s="99">
        <f t="shared" si="234"/>
        <v>0</v>
      </c>
      <c r="GR52" s="99">
        <f t="shared" si="234"/>
        <v>0</v>
      </c>
      <c r="GS52" s="99">
        <f t="shared" si="233"/>
        <v>0</v>
      </c>
      <c r="GT52" s="99">
        <f t="shared" ref="GT52:HG52" si="235">SUM(GT53:GT59)</f>
        <v>0</v>
      </c>
      <c r="GU52" s="99">
        <f t="shared" si="235"/>
        <v>12968</v>
      </c>
      <c r="GV52" s="99">
        <f t="shared" si="235"/>
        <v>0</v>
      </c>
      <c r="GW52" s="99">
        <f t="shared" si="235"/>
        <v>0</v>
      </c>
      <c r="GX52" s="99">
        <f t="shared" si="235"/>
        <v>0</v>
      </c>
      <c r="GY52" s="99">
        <f t="shared" si="235"/>
        <v>0</v>
      </c>
      <c r="GZ52" s="99">
        <f t="shared" si="235"/>
        <v>16596.599999999999</v>
      </c>
      <c r="HA52" s="99">
        <f t="shared" si="235"/>
        <v>1181.5999999999999</v>
      </c>
      <c r="HB52" s="99">
        <f t="shared" si="235"/>
        <v>2811</v>
      </c>
      <c r="HC52" s="99">
        <f t="shared" si="235"/>
        <v>0</v>
      </c>
      <c r="HD52" s="99">
        <f t="shared" si="235"/>
        <v>0</v>
      </c>
      <c r="HE52" s="99">
        <f t="shared" si="235"/>
        <v>1190</v>
      </c>
      <c r="HF52" s="99">
        <f t="shared" si="235"/>
        <v>0</v>
      </c>
      <c r="HG52" s="99">
        <f t="shared" si="235"/>
        <v>0</v>
      </c>
      <c r="HH52" s="99">
        <f t="shared" si="233"/>
        <v>0</v>
      </c>
      <c r="HI52" s="99">
        <f t="shared" ref="HI52:IN52" si="236">SUM(HI53:HI59)</f>
        <v>7487.1</v>
      </c>
      <c r="HJ52" s="99">
        <f t="shared" si="236"/>
        <v>0</v>
      </c>
      <c r="HK52" s="99">
        <f t="shared" si="236"/>
        <v>0</v>
      </c>
      <c r="HL52" s="99">
        <f t="shared" si="236"/>
        <v>0</v>
      </c>
      <c r="HM52" s="99">
        <f t="shared" si="236"/>
        <v>0</v>
      </c>
      <c r="HN52" s="99">
        <f t="shared" si="236"/>
        <v>0</v>
      </c>
      <c r="HO52" s="99">
        <f t="shared" si="236"/>
        <v>0</v>
      </c>
      <c r="HP52" s="99">
        <f t="shared" si="236"/>
        <v>0</v>
      </c>
      <c r="HQ52" s="99">
        <f t="shared" si="236"/>
        <v>0</v>
      </c>
      <c r="HR52" s="99">
        <f t="shared" si="236"/>
        <v>0</v>
      </c>
      <c r="HS52" s="99">
        <f t="shared" si="236"/>
        <v>0</v>
      </c>
      <c r="HT52" s="99">
        <f t="shared" si="236"/>
        <v>0</v>
      </c>
      <c r="HU52" s="99">
        <f t="shared" si="236"/>
        <v>0</v>
      </c>
      <c r="HV52" s="99">
        <f t="shared" si="236"/>
        <v>0</v>
      </c>
      <c r="HW52" s="99">
        <f t="shared" si="236"/>
        <v>880</v>
      </c>
      <c r="HX52" s="99">
        <f t="shared" si="236"/>
        <v>0</v>
      </c>
      <c r="HY52" s="99">
        <f t="shared" si="236"/>
        <v>0</v>
      </c>
      <c r="HZ52" s="99">
        <f t="shared" si="236"/>
        <v>0</v>
      </c>
      <c r="IA52" s="99">
        <f t="shared" si="236"/>
        <v>0</v>
      </c>
      <c r="IB52" s="99">
        <f t="shared" si="236"/>
        <v>3477.6</v>
      </c>
      <c r="IC52" s="99">
        <f t="shared" si="236"/>
        <v>9268.6</v>
      </c>
      <c r="ID52" s="99">
        <f t="shared" si="236"/>
        <v>2484.6</v>
      </c>
      <c r="IE52" s="99">
        <f t="shared" si="236"/>
        <v>0</v>
      </c>
      <c r="IF52" s="99">
        <f t="shared" si="236"/>
        <v>0</v>
      </c>
      <c r="IG52" s="99">
        <f t="shared" si="236"/>
        <v>0</v>
      </c>
      <c r="IH52" s="99">
        <f t="shared" si="236"/>
        <v>140</v>
      </c>
      <c r="II52" s="99">
        <f t="shared" si="236"/>
        <v>3354.6</v>
      </c>
      <c r="IJ52" s="99">
        <f t="shared" si="236"/>
        <v>12820.099999999999</v>
      </c>
      <c r="IK52" s="99">
        <f t="shared" si="236"/>
        <v>0</v>
      </c>
      <c r="IL52" s="99">
        <f t="shared" si="236"/>
        <v>0</v>
      </c>
      <c r="IM52" s="99">
        <f t="shared" si="236"/>
        <v>4000</v>
      </c>
      <c r="IN52" s="99">
        <f t="shared" si="236"/>
        <v>0</v>
      </c>
      <c r="IO52" s="99">
        <f t="shared" ref="IO52:JT52" si="237">SUM(IO53:IO59)</f>
        <v>0</v>
      </c>
      <c r="IP52" s="99">
        <f t="shared" si="237"/>
        <v>0</v>
      </c>
      <c r="IQ52" s="99">
        <f t="shared" si="237"/>
        <v>0</v>
      </c>
      <c r="IR52" s="99">
        <f t="shared" si="237"/>
        <v>58072</v>
      </c>
      <c r="IS52" s="99">
        <f t="shared" si="237"/>
        <v>1953</v>
      </c>
      <c r="IT52" s="99">
        <f t="shared" si="237"/>
        <v>0</v>
      </c>
      <c r="IU52" s="99">
        <f t="shared" si="237"/>
        <v>11073.6</v>
      </c>
      <c r="IV52" s="99">
        <f t="shared" si="237"/>
        <v>0</v>
      </c>
      <c r="IW52" s="99">
        <f t="shared" si="237"/>
        <v>0</v>
      </c>
      <c r="IX52" s="99">
        <f t="shared" si="237"/>
        <v>190</v>
      </c>
      <c r="IY52" s="99">
        <f t="shared" si="237"/>
        <v>0</v>
      </c>
      <c r="IZ52" s="99">
        <f t="shared" si="237"/>
        <v>0</v>
      </c>
      <c r="JA52" s="99">
        <f t="shared" si="237"/>
        <v>150</v>
      </c>
      <c r="JB52" s="99">
        <f t="shared" si="237"/>
        <v>1500</v>
      </c>
      <c r="JC52" s="99">
        <f t="shared" si="237"/>
        <v>0</v>
      </c>
      <c r="JD52" s="99">
        <f t="shared" si="237"/>
        <v>0</v>
      </c>
      <c r="JE52" s="99">
        <f t="shared" si="237"/>
        <v>0</v>
      </c>
      <c r="JF52" s="99">
        <f t="shared" si="237"/>
        <v>0</v>
      </c>
      <c r="JG52" s="99">
        <f t="shared" si="237"/>
        <v>0</v>
      </c>
      <c r="JH52" s="99">
        <f t="shared" si="237"/>
        <v>0</v>
      </c>
      <c r="JI52" s="99">
        <f t="shared" si="237"/>
        <v>770</v>
      </c>
      <c r="JJ52" s="99">
        <f t="shared" si="237"/>
        <v>1075</v>
      </c>
      <c r="JK52" s="99">
        <f t="shared" si="237"/>
        <v>0</v>
      </c>
      <c r="JL52" s="99">
        <f t="shared" si="237"/>
        <v>2916</v>
      </c>
      <c r="JM52" s="99">
        <f t="shared" si="237"/>
        <v>19260</v>
      </c>
      <c r="JN52" s="99">
        <f t="shared" si="237"/>
        <v>100</v>
      </c>
      <c r="JO52" s="99">
        <f t="shared" si="237"/>
        <v>0</v>
      </c>
      <c r="JP52" s="99">
        <f t="shared" si="237"/>
        <v>0</v>
      </c>
      <c r="JQ52" s="99">
        <f t="shared" si="237"/>
        <v>0</v>
      </c>
      <c r="JR52" s="99">
        <f t="shared" si="237"/>
        <v>0</v>
      </c>
      <c r="JS52" s="99">
        <f t="shared" si="237"/>
        <v>0</v>
      </c>
      <c r="JT52" s="99">
        <f t="shared" si="237"/>
        <v>0</v>
      </c>
      <c r="JU52" s="99">
        <f t="shared" ref="JU52:KZ52" si="238">SUM(JU53:JU59)</f>
        <v>0</v>
      </c>
      <c r="JV52" s="99">
        <f t="shared" si="238"/>
        <v>0</v>
      </c>
      <c r="JW52" s="99">
        <f t="shared" si="238"/>
        <v>1760</v>
      </c>
      <c r="JX52" s="99">
        <f t="shared" si="238"/>
        <v>0</v>
      </c>
      <c r="JY52" s="99">
        <f t="shared" si="238"/>
        <v>0</v>
      </c>
      <c r="JZ52" s="99">
        <f t="shared" si="238"/>
        <v>1536</v>
      </c>
      <c r="KA52" s="99">
        <f t="shared" si="238"/>
        <v>1894.1</v>
      </c>
      <c r="KB52" s="99">
        <f t="shared" si="238"/>
        <v>0</v>
      </c>
      <c r="KC52" s="99">
        <f t="shared" si="238"/>
        <v>0</v>
      </c>
      <c r="KD52" s="99">
        <f t="shared" si="238"/>
        <v>0</v>
      </c>
      <c r="KE52" s="99">
        <f t="shared" si="238"/>
        <v>0</v>
      </c>
      <c r="KF52" s="99">
        <f t="shared" si="238"/>
        <v>0</v>
      </c>
      <c r="KG52" s="99">
        <f t="shared" si="238"/>
        <v>0</v>
      </c>
      <c r="KH52" s="99">
        <f t="shared" si="238"/>
        <v>4348</v>
      </c>
      <c r="KI52" s="99">
        <f t="shared" si="238"/>
        <v>96</v>
      </c>
      <c r="KJ52" s="99">
        <f t="shared" si="238"/>
        <v>169677.1</v>
      </c>
      <c r="KK52" s="99">
        <f t="shared" si="238"/>
        <v>0</v>
      </c>
      <c r="KL52" s="99">
        <f t="shared" si="238"/>
        <v>0</v>
      </c>
      <c r="KM52" s="99">
        <f t="shared" si="238"/>
        <v>0</v>
      </c>
      <c r="KN52" s="99">
        <f t="shared" si="238"/>
        <v>0</v>
      </c>
      <c r="KO52" s="99">
        <f t="shared" si="238"/>
        <v>0</v>
      </c>
      <c r="KP52" s="99">
        <f t="shared" si="238"/>
        <v>0</v>
      </c>
      <c r="KQ52" s="99">
        <f t="shared" si="238"/>
        <v>0</v>
      </c>
      <c r="KR52" s="99">
        <f t="shared" si="238"/>
        <v>17438.5</v>
      </c>
      <c r="KS52" s="99">
        <f t="shared" si="238"/>
        <v>0</v>
      </c>
      <c r="KT52" s="99">
        <f t="shared" si="238"/>
        <v>0</v>
      </c>
      <c r="KU52" s="99">
        <f t="shared" si="238"/>
        <v>1700</v>
      </c>
      <c r="KV52" s="99">
        <f t="shared" si="238"/>
        <v>1049.4000000000001</v>
      </c>
      <c r="KW52" s="99">
        <f t="shared" si="238"/>
        <v>0</v>
      </c>
      <c r="KX52" s="99">
        <f t="shared" si="238"/>
        <v>120485.40000000001</v>
      </c>
      <c r="KY52" s="99">
        <f t="shared" si="238"/>
        <v>0</v>
      </c>
      <c r="KZ52" s="99">
        <f t="shared" si="238"/>
        <v>2895</v>
      </c>
      <c r="LA52" s="99">
        <f t="shared" ref="LA52:OT52" si="239">SUM(LA53:LA59)</f>
        <v>0</v>
      </c>
      <c r="LB52" s="99">
        <f t="shared" si="239"/>
        <v>7410</v>
      </c>
      <c r="LC52" s="99">
        <f t="shared" ref="LC52:LJ52" si="240">SUM(LC53:LC59)</f>
        <v>0</v>
      </c>
      <c r="LD52" s="99">
        <f t="shared" si="240"/>
        <v>0</v>
      </c>
      <c r="LE52" s="99">
        <f t="shared" si="240"/>
        <v>0</v>
      </c>
      <c r="LF52" s="99">
        <f t="shared" si="240"/>
        <v>0</v>
      </c>
      <c r="LG52" s="99">
        <f t="shared" si="240"/>
        <v>0</v>
      </c>
      <c r="LH52" s="99">
        <f t="shared" si="240"/>
        <v>0</v>
      </c>
      <c r="LI52" s="99">
        <f t="shared" si="240"/>
        <v>0</v>
      </c>
      <c r="LJ52" s="99">
        <f t="shared" si="240"/>
        <v>0</v>
      </c>
      <c r="LK52" s="99">
        <f t="shared" ref="LK52:LQ52" si="241">SUM(LK53:LK59)</f>
        <v>0</v>
      </c>
      <c r="LL52" s="99">
        <f t="shared" si="241"/>
        <v>0</v>
      </c>
      <c r="LM52" s="99">
        <f>SUM(LM53:LM59)</f>
        <v>0</v>
      </c>
      <c r="LN52" s="99">
        <f>SUM(LN53:LN59)</f>
        <v>0</v>
      </c>
      <c r="LO52" s="99">
        <f t="shared" si="241"/>
        <v>0</v>
      </c>
      <c r="LP52" s="99">
        <f t="shared" si="241"/>
        <v>0</v>
      </c>
      <c r="LQ52" s="99">
        <f t="shared" si="241"/>
        <v>0</v>
      </c>
      <c r="LR52" s="99">
        <f t="shared" ref="LR52:MW52" si="242">SUM(LR53:LR59)</f>
        <v>0</v>
      </c>
      <c r="LS52" s="99">
        <f t="shared" si="242"/>
        <v>0</v>
      </c>
      <c r="LT52" s="99">
        <f t="shared" si="242"/>
        <v>0</v>
      </c>
      <c r="LU52" s="99">
        <f t="shared" si="242"/>
        <v>857.6</v>
      </c>
      <c r="LV52" s="99">
        <f t="shared" si="242"/>
        <v>18864</v>
      </c>
      <c r="LW52" s="99">
        <f t="shared" si="242"/>
        <v>0</v>
      </c>
      <c r="LX52" s="99">
        <f t="shared" si="242"/>
        <v>2600</v>
      </c>
      <c r="LY52" s="99">
        <f t="shared" si="242"/>
        <v>0</v>
      </c>
      <c r="LZ52" s="99">
        <f t="shared" si="242"/>
        <v>0</v>
      </c>
      <c r="MA52" s="99">
        <f t="shared" si="242"/>
        <v>0</v>
      </c>
      <c r="MB52" s="99">
        <f t="shared" si="242"/>
        <v>0</v>
      </c>
      <c r="MC52" s="99">
        <f t="shared" si="242"/>
        <v>0</v>
      </c>
      <c r="MD52" s="99">
        <f t="shared" si="242"/>
        <v>0</v>
      </c>
      <c r="ME52" s="99">
        <f t="shared" si="242"/>
        <v>0</v>
      </c>
      <c r="MF52" s="99">
        <f t="shared" si="242"/>
        <v>0</v>
      </c>
      <c r="MG52" s="99">
        <f t="shared" si="242"/>
        <v>0</v>
      </c>
      <c r="MH52" s="99">
        <f t="shared" si="242"/>
        <v>6</v>
      </c>
      <c r="MI52" s="99">
        <f t="shared" si="242"/>
        <v>2100</v>
      </c>
      <c r="MJ52" s="99">
        <f t="shared" si="242"/>
        <v>999</v>
      </c>
      <c r="MK52" s="99">
        <f t="shared" si="242"/>
        <v>0</v>
      </c>
      <c r="ML52" s="99">
        <f t="shared" si="242"/>
        <v>0</v>
      </c>
      <c r="MM52" s="99">
        <f t="shared" si="242"/>
        <v>4487</v>
      </c>
      <c r="MN52" s="99">
        <f t="shared" si="242"/>
        <v>0</v>
      </c>
      <c r="MO52" s="99">
        <f t="shared" si="242"/>
        <v>0</v>
      </c>
      <c r="MP52" s="99">
        <f t="shared" si="242"/>
        <v>0</v>
      </c>
      <c r="MQ52" s="99">
        <f t="shared" si="242"/>
        <v>0</v>
      </c>
      <c r="MR52" s="99">
        <f t="shared" si="242"/>
        <v>233.6</v>
      </c>
      <c r="MS52" s="99">
        <f t="shared" si="242"/>
        <v>1200</v>
      </c>
      <c r="MT52" s="99">
        <f t="shared" si="242"/>
        <v>0</v>
      </c>
      <c r="MU52" s="99">
        <f t="shared" si="242"/>
        <v>0</v>
      </c>
      <c r="MV52" s="99">
        <f t="shared" si="242"/>
        <v>0</v>
      </c>
      <c r="MW52" s="99">
        <f t="shared" si="242"/>
        <v>0</v>
      </c>
      <c r="MX52" s="99">
        <f t="shared" ref="MX52:OC52" si="243">SUM(MX53:MX59)</f>
        <v>0</v>
      </c>
      <c r="MY52" s="99">
        <f t="shared" si="243"/>
        <v>0</v>
      </c>
      <c r="MZ52" s="99">
        <f t="shared" si="243"/>
        <v>0</v>
      </c>
      <c r="NA52" s="99">
        <f t="shared" si="243"/>
        <v>15842.5</v>
      </c>
      <c r="NB52" s="99">
        <f t="shared" si="243"/>
        <v>384</v>
      </c>
      <c r="NC52" s="99">
        <f t="shared" si="243"/>
        <v>0</v>
      </c>
      <c r="ND52" s="99">
        <f t="shared" si="243"/>
        <v>0</v>
      </c>
      <c r="NE52" s="99">
        <f t="shared" si="243"/>
        <v>0</v>
      </c>
      <c r="NF52" s="99">
        <f t="shared" si="243"/>
        <v>0</v>
      </c>
      <c r="NG52" s="99">
        <f t="shared" si="243"/>
        <v>0</v>
      </c>
      <c r="NH52" s="99">
        <f t="shared" si="243"/>
        <v>0</v>
      </c>
      <c r="NI52" s="99">
        <f t="shared" si="243"/>
        <v>1000</v>
      </c>
      <c r="NJ52" s="99">
        <f t="shared" si="243"/>
        <v>668</v>
      </c>
      <c r="NK52" s="99">
        <f t="shared" si="243"/>
        <v>0</v>
      </c>
      <c r="NL52" s="99">
        <f t="shared" si="243"/>
        <v>0</v>
      </c>
      <c r="NM52" s="99">
        <f t="shared" si="243"/>
        <v>9806.2000000000007</v>
      </c>
      <c r="NN52" s="99">
        <f t="shared" si="243"/>
        <v>1152</v>
      </c>
      <c r="NO52" s="99">
        <f t="shared" si="243"/>
        <v>0</v>
      </c>
      <c r="NP52" s="99">
        <f t="shared" si="243"/>
        <v>415</v>
      </c>
      <c r="NQ52" s="99">
        <f t="shared" si="243"/>
        <v>1648</v>
      </c>
      <c r="NR52" s="99">
        <f t="shared" si="243"/>
        <v>0</v>
      </c>
      <c r="NS52" s="99">
        <f t="shared" si="243"/>
        <v>0</v>
      </c>
      <c r="NT52" s="99">
        <f t="shared" si="243"/>
        <v>0</v>
      </c>
      <c r="NU52" s="99">
        <f t="shared" si="243"/>
        <v>0</v>
      </c>
      <c r="NV52" s="99">
        <f t="shared" si="243"/>
        <v>0</v>
      </c>
      <c r="NW52" s="99">
        <f t="shared" si="243"/>
        <v>0</v>
      </c>
      <c r="NX52" s="99">
        <f t="shared" si="243"/>
        <v>320</v>
      </c>
      <c r="NY52" s="99">
        <f t="shared" si="243"/>
        <v>0</v>
      </c>
      <c r="NZ52" s="99">
        <f t="shared" si="243"/>
        <v>1772</v>
      </c>
      <c r="OA52" s="99">
        <f t="shared" si="243"/>
        <v>8520</v>
      </c>
      <c r="OB52" s="99">
        <f t="shared" si="243"/>
        <v>0</v>
      </c>
      <c r="OC52" s="99">
        <f t="shared" si="243"/>
        <v>1026.2</v>
      </c>
      <c r="OD52" s="99">
        <f t="shared" ref="OD52:OG52" si="244">SUM(OD53:OD59)</f>
        <v>0</v>
      </c>
      <c r="OE52" s="99">
        <f t="shared" si="244"/>
        <v>0</v>
      </c>
      <c r="OF52" s="99">
        <f t="shared" si="244"/>
        <v>2896</v>
      </c>
      <c r="OG52" s="99">
        <f t="shared" si="244"/>
        <v>0</v>
      </c>
      <c r="OH52" s="99">
        <f t="shared" si="239"/>
        <v>0</v>
      </c>
      <c r="OI52" s="99">
        <f t="shared" si="239"/>
        <v>0</v>
      </c>
      <c r="OJ52" s="99">
        <f>SUM(OJ53:OJ59)</f>
        <v>0</v>
      </c>
      <c r="OK52" s="99">
        <f>SUM(OK53:OK59)</f>
        <v>0</v>
      </c>
      <c r="OL52" s="99">
        <f t="shared" si="239"/>
        <v>0</v>
      </c>
      <c r="OM52" s="99">
        <f t="shared" si="239"/>
        <v>71.3</v>
      </c>
      <c r="ON52" s="99">
        <f>SUM(ON53:ON59)</f>
        <v>3825</v>
      </c>
      <c r="OO52" s="99">
        <f t="shared" si="239"/>
        <v>272.8</v>
      </c>
      <c r="OP52" s="99">
        <f t="shared" si="239"/>
        <v>7141.6</v>
      </c>
      <c r="OQ52" s="99">
        <f t="shared" si="239"/>
        <v>96</v>
      </c>
      <c r="OR52" s="99">
        <f t="shared" si="239"/>
        <v>738.6</v>
      </c>
      <c r="OS52" s="99">
        <f t="shared" si="239"/>
        <v>8994.5</v>
      </c>
      <c r="OT52" s="99">
        <f t="shared" si="239"/>
        <v>1604.2</v>
      </c>
      <c r="OU52" s="99">
        <f t="shared" si="233"/>
        <v>1600.5</v>
      </c>
      <c r="OV52" s="99">
        <f t="shared" si="233"/>
        <v>0.1</v>
      </c>
      <c r="OW52" s="99">
        <f t="shared" ref="OW52:PH52" si="245">SUM(OW53:OW59)</f>
        <v>0</v>
      </c>
      <c r="OX52" s="99">
        <f t="shared" si="245"/>
        <v>0</v>
      </c>
      <c r="OY52" s="99">
        <f t="shared" si="245"/>
        <v>0</v>
      </c>
      <c r="OZ52" s="99">
        <f t="shared" si="245"/>
        <v>3821.5</v>
      </c>
      <c r="PA52" s="99">
        <f t="shared" si="245"/>
        <v>1601.6</v>
      </c>
      <c r="PB52" s="99">
        <f>SUM(PB53:PB59)</f>
        <v>376.3</v>
      </c>
      <c r="PC52" s="99">
        <f t="shared" si="245"/>
        <v>0</v>
      </c>
      <c r="PD52" s="99">
        <f>SUM(PD53:PD59)</f>
        <v>1526.3</v>
      </c>
      <c r="PE52" s="99">
        <f t="shared" si="245"/>
        <v>4561.6000000000004</v>
      </c>
      <c r="PF52" s="99">
        <f t="shared" si="245"/>
        <v>2</v>
      </c>
      <c r="PG52" s="99">
        <f t="shared" si="245"/>
        <v>24398.399999999998</v>
      </c>
      <c r="PH52" s="99">
        <f t="shared" si="245"/>
        <v>96</v>
      </c>
      <c r="PI52" s="99">
        <f>SUM(PI53:PI59)</f>
        <v>3000</v>
      </c>
      <c r="PJ52" s="99">
        <f t="shared" ref="PJ52:QC52" si="246">SUM(PJ53:PJ59)</f>
        <v>0</v>
      </c>
      <c r="PK52" s="99">
        <f t="shared" si="246"/>
        <v>0</v>
      </c>
      <c r="PL52" s="99">
        <f t="shared" si="246"/>
        <v>0</v>
      </c>
      <c r="PM52" s="99">
        <f t="shared" si="246"/>
        <v>19.2</v>
      </c>
      <c r="PN52" s="99">
        <f t="shared" ref="PN52:PS52" si="247">SUM(PN53:PN59)</f>
        <v>0</v>
      </c>
      <c r="PO52" s="99">
        <f t="shared" si="247"/>
        <v>421.6</v>
      </c>
      <c r="PP52" s="99">
        <f t="shared" si="247"/>
        <v>765.5</v>
      </c>
      <c r="PQ52" s="99">
        <f t="shared" si="247"/>
        <v>2712</v>
      </c>
      <c r="PR52" s="99">
        <f t="shared" si="247"/>
        <v>3312</v>
      </c>
      <c r="PS52" s="99">
        <f t="shared" si="247"/>
        <v>3883.5</v>
      </c>
      <c r="PT52" s="99">
        <f t="shared" si="246"/>
        <v>0</v>
      </c>
      <c r="PU52" s="99">
        <f>SUM(PU53:PU59)</f>
        <v>0</v>
      </c>
      <c r="PV52" s="99">
        <f t="shared" si="246"/>
        <v>7328</v>
      </c>
      <c r="PW52" s="99">
        <f>SUM(PW53:PW59)</f>
        <v>7630</v>
      </c>
      <c r="PX52" s="99">
        <f>SUM(PX53:PX59)</f>
        <v>691.5</v>
      </c>
      <c r="PY52" s="99">
        <f>SUM(PY53:PY59)</f>
        <v>0</v>
      </c>
      <c r="PZ52" s="99">
        <f>SUM(PZ53:PZ59)</f>
        <v>0</v>
      </c>
      <c r="QA52" s="99">
        <f>SUM(QA53:QA59)</f>
        <v>0</v>
      </c>
      <c r="QB52" s="99">
        <f t="shared" si="246"/>
        <v>2000</v>
      </c>
      <c r="QC52" s="99">
        <f t="shared" si="246"/>
        <v>750</v>
      </c>
      <c r="QD52" s="99">
        <f>SUM(QD53:QD59)</f>
        <v>24141.5</v>
      </c>
      <c r="QE52" s="99">
        <f t="shared" ref="QE52:QJ52" si="248">SUM(QE53:QE59)</f>
        <v>3919.5</v>
      </c>
      <c r="QF52" s="99">
        <f t="shared" si="248"/>
        <v>0</v>
      </c>
      <c r="QG52" s="99">
        <f t="shared" si="248"/>
        <v>105.2</v>
      </c>
      <c r="QH52" s="99">
        <f t="shared" si="248"/>
        <v>1000</v>
      </c>
      <c r="QI52" s="99">
        <f t="shared" si="248"/>
        <v>6788.4</v>
      </c>
      <c r="QJ52" s="99">
        <f t="shared" si="248"/>
        <v>4646.8</v>
      </c>
      <c r="QK52" s="99">
        <f>SUM(QK53:QK59)</f>
        <v>0</v>
      </c>
      <c r="QL52" s="99">
        <f t="shared" ref="QL52:QM52" si="249">SUM(QL53:QL59)</f>
        <v>1600</v>
      </c>
      <c r="QM52" s="99">
        <f t="shared" si="249"/>
        <v>3185</v>
      </c>
      <c r="QN52" s="99">
        <f>SUM(QN53:QN59)</f>
        <v>10800</v>
      </c>
      <c r="QO52" s="99">
        <f>SUM(QO53:QO59)</f>
        <v>0</v>
      </c>
      <c r="QP52" s="99">
        <f t="shared" ref="QP52" si="250">SUM(QP53:QP59)</f>
        <v>962.9</v>
      </c>
      <c r="QQ52" s="99">
        <f>SUM(QQ53:QQ59)</f>
        <v>373.9</v>
      </c>
      <c r="QR52" s="99">
        <f>SUM(QR53:QR59)</f>
        <v>0</v>
      </c>
      <c r="QS52" s="99">
        <f t="shared" ref="QS52:RM52" si="251">SUM(QS53:QS59)</f>
        <v>0</v>
      </c>
      <c r="QT52" s="99">
        <f>SUM(QT53:QT59)</f>
        <v>432</v>
      </c>
      <c r="QU52" s="99">
        <f>SUM(QU53:QU59)</f>
        <v>432</v>
      </c>
      <c r="QV52" s="99">
        <f t="shared" si="251"/>
        <v>656</v>
      </c>
      <c r="QW52" s="99">
        <f t="shared" si="251"/>
        <v>216</v>
      </c>
      <c r="QX52" s="99">
        <f t="shared" si="251"/>
        <v>1400</v>
      </c>
      <c r="QY52" s="99">
        <f t="shared" si="251"/>
        <v>0</v>
      </c>
      <c r="QZ52" s="99">
        <f t="shared" si="251"/>
        <v>176.8</v>
      </c>
      <c r="RA52" s="99">
        <f t="shared" si="251"/>
        <v>1925</v>
      </c>
      <c r="RB52" s="99">
        <f t="shared" si="251"/>
        <v>2696</v>
      </c>
      <c r="RC52" s="99">
        <f t="shared" si="251"/>
        <v>2141.1</v>
      </c>
      <c r="RD52" s="99">
        <f t="shared" si="251"/>
        <v>640</v>
      </c>
      <c r="RE52" s="99">
        <f>SUM(RE53:RE59)</f>
        <v>204</v>
      </c>
      <c r="RF52" s="99">
        <f t="shared" si="251"/>
        <v>0</v>
      </c>
      <c r="RG52" s="99">
        <f t="shared" si="251"/>
        <v>0</v>
      </c>
      <c r="RH52" s="99">
        <f t="shared" si="251"/>
        <v>0</v>
      </c>
      <c r="RI52" s="99">
        <f t="shared" si="251"/>
        <v>160</v>
      </c>
      <c r="RJ52" s="99">
        <f>SUM(RJ53:RJ59)</f>
        <v>1076.5</v>
      </c>
      <c r="RK52" s="99">
        <f t="shared" si="251"/>
        <v>464.8</v>
      </c>
      <c r="RL52" s="99">
        <f t="shared" si="251"/>
        <v>396</v>
      </c>
      <c r="RM52" s="99">
        <f t="shared" si="251"/>
        <v>552</v>
      </c>
      <c r="RN52" s="99">
        <f>SUM(RN53:RN59)</f>
        <v>4000</v>
      </c>
    </row>
    <row r="53" spans="1:482" s="60" customFormat="1" ht="11.25" x14ac:dyDescent="0.2">
      <c r="A53" s="125" t="s">
        <v>792</v>
      </c>
      <c r="B53" s="181" t="s">
        <v>876</v>
      </c>
      <c r="C53" s="181"/>
      <c r="D53" s="116">
        <f t="shared" ref="D53:D59" si="252">SUM(E53:RR53)</f>
        <v>1076361.0999999996</v>
      </c>
      <c r="E53" s="114"/>
      <c r="F53" s="114">
        <v>545.4</v>
      </c>
      <c r="G53" s="114">
        <v>147.4</v>
      </c>
      <c r="H53" s="114">
        <v>0</v>
      </c>
      <c r="I53" s="114">
        <v>3238.4</v>
      </c>
      <c r="J53" s="114">
        <v>49000</v>
      </c>
      <c r="K53" s="114">
        <v>0</v>
      </c>
      <c r="L53" s="114">
        <f>820+576</f>
        <v>1396</v>
      </c>
      <c r="M53" s="114">
        <v>828.9</v>
      </c>
      <c r="N53" s="114">
        <v>799</v>
      </c>
      <c r="O53" s="114">
        <v>1280</v>
      </c>
      <c r="P53" s="114">
        <v>17344.900000000001</v>
      </c>
      <c r="Q53" s="114">
        <v>0</v>
      </c>
      <c r="R53" s="114">
        <v>7334.4</v>
      </c>
      <c r="S53" s="114">
        <v>0</v>
      </c>
      <c r="T53" s="114">
        <v>0</v>
      </c>
      <c r="U53" s="114">
        <v>0</v>
      </c>
      <c r="V53" s="114">
        <v>0</v>
      </c>
      <c r="W53" s="114">
        <v>0</v>
      </c>
      <c r="X53" s="114">
        <f>2763.1+8164</f>
        <v>10927.1</v>
      </c>
      <c r="Y53" s="114">
        <v>0</v>
      </c>
      <c r="Z53" s="114">
        <v>0</v>
      </c>
      <c r="AA53" s="114">
        <v>0</v>
      </c>
      <c r="AB53" s="114">
        <v>0</v>
      </c>
      <c r="AC53" s="114">
        <v>5824.4</v>
      </c>
      <c r="AD53" s="114">
        <v>0</v>
      </c>
      <c r="AE53" s="114">
        <v>0</v>
      </c>
      <c r="AF53" s="114">
        <v>0</v>
      </c>
      <c r="AG53" s="114">
        <v>0</v>
      </c>
      <c r="AH53" s="114">
        <v>5883</v>
      </c>
      <c r="AI53" s="114">
        <v>0</v>
      </c>
      <c r="AJ53" s="114">
        <f>28587.6+31537</f>
        <v>60124.6</v>
      </c>
      <c r="AK53" s="114">
        <v>18421.7</v>
      </c>
      <c r="AL53" s="114">
        <v>0</v>
      </c>
      <c r="AM53" s="114">
        <v>23720</v>
      </c>
      <c r="AN53" s="114">
        <v>2200.4</v>
      </c>
      <c r="AO53" s="114">
        <v>4500.5</v>
      </c>
      <c r="AP53" s="114">
        <f>3203.1+12526.4</f>
        <v>15729.5</v>
      </c>
      <c r="AQ53" s="114">
        <v>14753.4</v>
      </c>
      <c r="AR53" s="114">
        <v>0</v>
      </c>
      <c r="AS53" s="114">
        <v>0</v>
      </c>
      <c r="AT53" s="114">
        <v>250002</v>
      </c>
      <c r="AU53" s="114">
        <v>0</v>
      </c>
      <c r="AV53" s="114">
        <v>7809.3</v>
      </c>
      <c r="AW53" s="114">
        <v>4665.3</v>
      </c>
      <c r="AX53" s="114">
        <v>1720</v>
      </c>
      <c r="AY53" s="114"/>
      <c r="AZ53" s="114">
        <v>6756.7</v>
      </c>
      <c r="BA53" s="114">
        <v>0</v>
      </c>
      <c r="BB53" s="114">
        <v>5357.5</v>
      </c>
      <c r="BC53" s="114">
        <v>10813.3</v>
      </c>
      <c r="BD53" s="114">
        <v>0</v>
      </c>
      <c r="BE53" s="114">
        <v>1637.5</v>
      </c>
      <c r="BF53" s="114">
        <v>0</v>
      </c>
      <c r="BG53" s="114">
        <v>0</v>
      </c>
      <c r="BH53" s="114">
        <v>0</v>
      </c>
      <c r="BI53" s="114">
        <v>0</v>
      </c>
      <c r="BJ53" s="114">
        <v>0</v>
      </c>
      <c r="BK53" s="114" t="s">
        <v>945</v>
      </c>
      <c r="BL53" s="103">
        <v>180</v>
      </c>
      <c r="BM53" s="103">
        <v>0</v>
      </c>
      <c r="BN53" s="103">
        <v>0</v>
      </c>
      <c r="BO53" s="103">
        <v>0</v>
      </c>
      <c r="BP53" s="103">
        <v>0</v>
      </c>
      <c r="BQ53" s="103">
        <v>0</v>
      </c>
      <c r="BR53" s="103">
        <v>0</v>
      </c>
      <c r="BS53" s="103">
        <v>576</v>
      </c>
      <c r="BT53" s="103">
        <v>0</v>
      </c>
      <c r="BU53" s="103">
        <v>0</v>
      </c>
      <c r="BV53" s="103">
        <v>0</v>
      </c>
      <c r="BW53" s="103">
        <v>0</v>
      </c>
      <c r="BX53" s="103">
        <v>1641</v>
      </c>
      <c r="BY53" s="103">
        <v>23184.2</v>
      </c>
      <c r="BZ53" s="103">
        <v>0</v>
      </c>
      <c r="CA53" s="103">
        <v>0</v>
      </c>
      <c r="CB53" s="103">
        <v>0</v>
      </c>
      <c r="CC53" s="103">
        <v>4470.3</v>
      </c>
      <c r="CD53" s="103">
        <v>0</v>
      </c>
      <c r="CE53" s="103">
        <v>0</v>
      </c>
      <c r="CF53" s="103">
        <v>0</v>
      </c>
      <c r="CG53" s="103">
        <v>0</v>
      </c>
      <c r="CH53" s="103">
        <v>62.4</v>
      </c>
      <c r="CI53" s="103">
        <v>0</v>
      </c>
      <c r="CJ53" s="103">
        <v>0</v>
      </c>
      <c r="CK53" s="103">
        <v>600</v>
      </c>
      <c r="CL53" s="103">
        <v>0</v>
      </c>
      <c r="CM53" s="103">
        <v>8290</v>
      </c>
      <c r="CN53" s="103">
        <v>0</v>
      </c>
      <c r="CO53" s="103">
        <v>0</v>
      </c>
      <c r="CP53" s="103">
        <v>0</v>
      </c>
      <c r="CQ53" s="103">
        <v>0</v>
      </c>
      <c r="CR53" s="103">
        <v>0</v>
      </c>
      <c r="CS53" s="103">
        <v>49611.4</v>
      </c>
      <c r="CT53" s="103"/>
      <c r="CU53" s="103"/>
      <c r="CV53" s="103"/>
      <c r="CW53" s="103"/>
      <c r="CX53" s="103"/>
      <c r="CY53" s="103"/>
      <c r="CZ53" s="103"/>
      <c r="DA53" s="103"/>
      <c r="DB53" s="103"/>
      <c r="DC53" s="103"/>
      <c r="DD53" s="103"/>
      <c r="DE53" s="103"/>
      <c r="DF53" s="103">
        <v>9011.6</v>
      </c>
      <c r="DG53" s="103"/>
      <c r="DH53" s="103"/>
      <c r="DI53" s="103"/>
      <c r="DJ53" s="103"/>
      <c r="DK53" s="103"/>
      <c r="DL53" s="103">
        <v>0</v>
      </c>
      <c r="DM53" s="103">
        <v>0</v>
      </c>
      <c r="DN53" s="103">
        <v>0</v>
      </c>
      <c r="DO53" s="103">
        <v>0</v>
      </c>
      <c r="DP53" s="103">
        <v>140</v>
      </c>
      <c r="DQ53" s="103"/>
      <c r="DR53" s="103"/>
      <c r="DS53" s="103"/>
      <c r="DT53" s="103">
        <v>800</v>
      </c>
      <c r="DU53" s="103">
        <v>2189.1</v>
      </c>
      <c r="DV53" s="103">
        <v>37613.1</v>
      </c>
      <c r="DW53" s="103">
        <v>1120</v>
      </c>
      <c r="DX53" s="116"/>
      <c r="DY53" s="103"/>
      <c r="DZ53" s="103"/>
      <c r="EA53" s="103"/>
      <c r="EB53" s="103"/>
      <c r="EC53" s="103"/>
      <c r="ED53" s="103"/>
      <c r="EE53" s="103"/>
      <c r="EF53" s="103"/>
      <c r="EG53" s="103"/>
      <c r="EH53" s="103"/>
      <c r="EI53" s="103">
        <v>0</v>
      </c>
      <c r="EJ53" s="103">
        <v>0</v>
      </c>
      <c r="EK53" s="103">
        <v>0</v>
      </c>
      <c r="EL53" s="103">
        <v>19.900000000000002</v>
      </c>
      <c r="EM53" s="103">
        <v>0</v>
      </c>
      <c r="EN53" s="103">
        <v>0</v>
      </c>
      <c r="EO53" s="103">
        <v>0</v>
      </c>
      <c r="EP53" s="103">
        <v>0</v>
      </c>
      <c r="EQ53" s="103">
        <v>625</v>
      </c>
      <c r="ER53" s="103">
        <v>560.20000000000005</v>
      </c>
      <c r="ES53" s="103">
        <v>0</v>
      </c>
      <c r="ET53" s="103">
        <v>0</v>
      </c>
      <c r="EU53" s="103"/>
      <c r="EV53" s="103">
        <v>640</v>
      </c>
      <c r="EW53" s="103">
        <v>0</v>
      </c>
      <c r="EX53" s="103">
        <v>0</v>
      </c>
      <c r="EY53" s="103">
        <v>0</v>
      </c>
      <c r="EZ53" s="103">
        <v>0</v>
      </c>
      <c r="FA53" s="103">
        <v>0</v>
      </c>
      <c r="FB53" s="103">
        <v>0</v>
      </c>
      <c r="FC53" s="103">
        <v>0</v>
      </c>
      <c r="FD53" s="103">
        <v>0</v>
      </c>
      <c r="FE53" s="103">
        <v>0</v>
      </c>
      <c r="FF53" s="103">
        <v>0</v>
      </c>
      <c r="FG53" s="103">
        <v>0</v>
      </c>
      <c r="FH53" s="103">
        <v>0</v>
      </c>
      <c r="FI53" s="103">
        <v>0</v>
      </c>
      <c r="FJ53" s="103">
        <v>0</v>
      </c>
      <c r="FK53" s="103">
        <v>0</v>
      </c>
      <c r="FL53" s="103">
        <v>0</v>
      </c>
      <c r="FM53" s="103">
        <v>688</v>
      </c>
      <c r="FN53" s="103">
        <v>0</v>
      </c>
      <c r="FO53" s="103">
        <v>0</v>
      </c>
      <c r="FP53" s="103">
        <v>0</v>
      </c>
      <c r="FQ53" s="103">
        <v>0</v>
      </c>
      <c r="FR53" s="103">
        <v>2383.6</v>
      </c>
      <c r="FS53" s="103">
        <v>0</v>
      </c>
      <c r="FT53" s="103">
        <v>0</v>
      </c>
      <c r="FU53" s="103">
        <v>0</v>
      </c>
      <c r="FV53" s="103">
        <v>4552</v>
      </c>
      <c r="FW53" s="103">
        <v>0</v>
      </c>
      <c r="FX53" s="103">
        <v>0</v>
      </c>
      <c r="FY53" s="103">
        <v>0</v>
      </c>
      <c r="FZ53" s="103">
        <v>0</v>
      </c>
      <c r="GA53" s="103">
        <v>1000</v>
      </c>
      <c r="GB53" s="103"/>
      <c r="GC53" s="103">
        <v>240.5</v>
      </c>
      <c r="GD53" s="103">
        <v>360</v>
      </c>
      <c r="GE53" s="103"/>
      <c r="GF53" s="103"/>
      <c r="GG53" s="103"/>
      <c r="GH53" s="103">
        <v>4416</v>
      </c>
      <c r="GI53" s="103"/>
      <c r="GJ53" s="103">
        <v>1725</v>
      </c>
      <c r="GK53" s="103">
        <v>0</v>
      </c>
      <c r="GL53" s="103">
        <v>0</v>
      </c>
      <c r="GM53" s="103">
        <v>7216</v>
      </c>
      <c r="GN53" s="103"/>
      <c r="GO53" s="103"/>
      <c r="GP53" s="103"/>
      <c r="GQ53" s="103"/>
      <c r="GR53" s="103"/>
      <c r="GS53" s="103">
        <v>0</v>
      </c>
      <c r="GT53" s="103">
        <v>0</v>
      </c>
      <c r="GU53" s="103">
        <v>3968</v>
      </c>
      <c r="GV53" s="103">
        <v>0</v>
      </c>
      <c r="GW53" s="103">
        <v>0</v>
      </c>
      <c r="GX53" s="103">
        <v>0</v>
      </c>
      <c r="GY53" s="103">
        <v>0</v>
      </c>
      <c r="GZ53" s="103">
        <v>16596.599999999999</v>
      </c>
      <c r="HA53" s="103">
        <v>584.70000000000005</v>
      </c>
      <c r="HB53" s="103">
        <v>1064</v>
      </c>
      <c r="HC53" s="103"/>
      <c r="HD53" s="103"/>
      <c r="HE53" s="103">
        <v>800</v>
      </c>
      <c r="HF53" s="103">
        <v>0</v>
      </c>
      <c r="HG53" s="103">
        <v>0</v>
      </c>
      <c r="HH53" s="103">
        <v>0</v>
      </c>
      <c r="HI53" s="103">
        <v>318</v>
      </c>
      <c r="HJ53" s="103">
        <v>0</v>
      </c>
      <c r="HK53" s="103">
        <v>0</v>
      </c>
      <c r="HL53" s="103">
        <v>0</v>
      </c>
      <c r="HM53" s="103"/>
      <c r="HN53" s="103"/>
      <c r="HO53" s="103"/>
      <c r="HP53" s="103"/>
      <c r="HQ53" s="103"/>
      <c r="HR53" s="103"/>
      <c r="HS53" s="103"/>
      <c r="HT53" s="103"/>
      <c r="HU53" s="103"/>
      <c r="HV53" s="103"/>
      <c r="HW53" s="103">
        <v>880</v>
      </c>
      <c r="HX53" s="103"/>
      <c r="HY53" s="103"/>
      <c r="HZ53" s="103">
        <v>0</v>
      </c>
      <c r="IA53" s="103">
        <v>0</v>
      </c>
      <c r="IB53" s="103">
        <v>3477.6</v>
      </c>
      <c r="IC53" s="103">
        <v>2284.3000000000002</v>
      </c>
      <c r="ID53" s="103">
        <v>0</v>
      </c>
      <c r="IE53" s="103">
        <v>0</v>
      </c>
      <c r="IF53" s="103">
        <v>0</v>
      </c>
      <c r="IG53" s="103">
        <v>0</v>
      </c>
      <c r="IH53" s="103">
        <v>140</v>
      </c>
      <c r="II53" s="103">
        <v>1416</v>
      </c>
      <c r="IJ53" s="103">
        <v>4000</v>
      </c>
      <c r="IK53" s="103">
        <v>0</v>
      </c>
      <c r="IL53" s="103">
        <v>0</v>
      </c>
      <c r="IM53" s="103">
        <v>0</v>
      </c>
      <c r="IN53" s="103">
        <v>0</v>
      </c>
      <c r="IO53" s="103">
        <v>0</v>
      </c>
      <c r="IP53" s="103">
        <v>0</v>
      </c>
      <c r="IQ53" s="103">
        <v>0</v>
      </c>
      <c r="IR53" s="103">
        <v>16872</v>
      </c>
      <c r="IS53" s="103">
        <v>1353</v>
      </c>
      <c r="IT53" s="103">
        <v>0</v>
      </c>
      <c r="IU53" s="103">
        <v>3792</v>
      </c>
      <c r="IV53" s="103">
        <v>0</v>
      </c>
      <c r="IW53" s="103">
        <v>0</v>
      </c>
      <c r="IX53" s="103">
        <v>190</v>
      </c>
      <c r="IY53" s="103">
        <v>0</v>
      </c>
      <c r="IZ53" s="103">
        <v>0</v>
      </c>
      <c r="JA53" s="103">
        <v>150</v>
      </c>
      <c r="JB53" s="103">
        <v>0</v>
      </c>
      <c r="JC53" s="103">
        <v>0</v>
      </c>
      <c r="JD53" s="103"/>
      <c r="JE53" s="103"/>
      <c r="JF53" s="103"/>
      <c r="JG53" s="103"/>
      <c r="JH53" s="103"/>
      <c r="JI53" s="103">
        <v>770</v>
      </c>
      <c r="JJ53" s="103">
        <v>1075</v>
      </c>
      <c r="JK53" s="103"/>
      <c r="JL53" s="103"/>
      <c r="JM53" s="103">
        <v>19260</v>
      </c>
      <c r="JN53" s="103">
        <v>100</v>
      </c>
      <c r="JO53" s="103"/>
      <c r="JP53" s="103"/>
      <c r="JQ53" s="103"/>
      <c r="JR53" s="103"/>
      <c r="JS53" s="103"/>
      <c r="JT53" s="103"/>
      <c r="JU53" s="103"/>
      <c r="JV53" s="103"/>
      <c r="JW53" s="103">
        <v>960</v>
      </c>
      <c r="JX53" s="103"/>
      <c r="JY53" s="103"/>
      <c r="JZ53" s="103">
        <v>1536</v>
      </c>
      <c r="KA53" s="103">
        <v>0</v>
      </c>
      <c r="KB53" s="103"/>
      <c r="KC53" s="103"/>
      <c r="KD53" s="103"/>
      <c r="KE53" s="103"/>
      <c r="KF53" s="103"/>
      <c r="KG53" s="103">
        <v>0</v>
      </c>
      <c r="KH53" s="103">
        <v>296</v>
      </c>
      <c r="KI53" s="103">
        <v>96</v>
      </c>
      <c r="KJ53" s="103">
        <v>168764.6</v>
      </c>
      <c r="KK53" s="103">
        <v>0</v>
      </c>
      <c r="KL53" s="103">
        <v>0</v>
      </c>
      <c r="KM53" s="103">
        <v>0</v>
      </c>
      <c r="KN53" s="103">
        <v>0</v>
      </c>
      <c r="KO53" s="103">
        <v>0</v>
      </c>
      <c r="KP53" s="103">
        <v>0</v>
      </c>
      <c r="KQ53" s="103">
        <v>0</v>
      </c>
      <c r="KR53" s="103">
        <v>0</v>
      </c>
      <c r="KS53" s="103">
        <v>0</v>
      </c>
      <c r="KT53" s="103">
        <v>0</v>
      </c>
      <c r="KU53" s="103">
        <v>1700</v>
      </c>
      <c r="KV53" s="103">
        <v>1049.4000000000001</v>
      </c>
      <c r="KW53" s="103">
        <v>0</v>
      </c>
      <c r="KX53" s="103">
        <v>1769.6000000000001</v>
      </c>
      <c r="KY53" s="103">
        <v>0</v>
      </c>
      <c r="KZ53" s="103">
        <v>0</v>
      </c>
      <c r="LA53" s="103">
        <v>0</v>
      </c>
      <c r="LB53" s="103">
        <v>7410</v>
      </c>
      <c r="LC53" s="103"/>
      <c r="LD53" s="103"/>
      <c r="LE53" s="103"/>
      <c r="LF53" s="103"/>
      <c r="LG53" s="103"/>
      <c r="LH53" s="103"/>
      <c r="LI53" s="103"/>
      <c r="LJ53" s="103"/>
      <c r="LK53" s="103"/>
      <c r="LL53" s="103"/>
      <c r="LM53" s="103"/>
      <c r="LN53" s="103"/>
      <c r="LO53" s="103"/>
      <c r="LP53" s="103"/>
      <c r="LQ53" s="103"/>
      <c r="LR53" s="103"/>
      <c r="LS53" s="103"/>
      <c r="LT53" s="103">
        <v>0</v>
      </c>
      <c r="LU53" s="103">
        <v>857.6</v>
      </c>
      <c r="LV53" s="103"/>
      <c r="LW53" s="103"/>
      <c r="LX53" s="103">
        <v>800</v>
      </c>
      <c r="LY53" s="103">
        <v>0</v>
      </c>
      <c r="LZ53" s="103">
        <v>0</v>
      </c>
      <c r="MA53" s="103">
        <v>0</v>
      </c>
      <c r="MB53" s="103">
        <v>0</v>
      </c>
      <c r="MC53" s="103">
        <v>0</v>
      </c>
      <c r="MD53" s="103">
        <v>0</v>
      </c>
      <c r="ME53" s="103">
        <v>0</v>
      </c>
      <c r="MF53" s="103">
        <v>0</v>
      </c>
      <c r="MG53" s="103">
        <v>0</v>
      </c>
      <c r="MH53" s="103">
        <v>6</v>
      </c>
      <c r="MI53" s="103">
        <v>0</v>
      </c>
      <c r="MJ53" s="103">
        <v>999</v>
      </c>
      <c r="MK53" s="103">
        <v>0</v>
      </c>
      <c r="ML53" s="103">
        <v>0</v>
      </c>
      <c r="MM53" s="103">
        <v>0</v>
      </c>
      <c r="MN53" s="103">
        <v>0</v>
      </c>
      <c r="MO53" s="103">
        <v>0</v>
      </c>
      <c r="MP53" s="103">
        <v>0</v>
      </c>
      <c r="MQ53" s="103">
        <v>0</v>
      </c>
      <c r="MR53" s="103">
        <v>233.6</v>
      </c>
      <c r="MS53" s="103">
        <v>0</v>
      </c>
      <c r="MT53" s="103">
        <v>0</v>
      </c>
      <c r="MU53" s="103">
        <v>0</v>
      </c>
      <c r="MV53" s="103">
        <v>0</v>
      </c>
      <c r="MW53" s="103">
        <v>0</v>
      </c>
      <c r="MX53" s="103">
        <v>0</v>
      </c>
      <c r="MY53" s="103">
        <v>0</v>
      </c>
      <c r="MZ53" s="103">
        <v>0</v>
      </c>
      <c r="NA53" s="103">
        <v>0</v>
      </c>
      <c r="NB53" s="103">
        <v>384</v>
      </c>
      <c r="NC53" s="103"/>
      <c r="ND53" s="103"/>
      <c r="NE53" s="103"/>
      <c r="NF53" s="103"/>
      <c r="NG53" s="103">
        <v>0</v>
      </c>
      <c r="NH53" s="103">
        <v>0</v>
      </c>
      <c r="NI53" s="103">
        <v>0</v>
      </c>
      <c r="NJ53" s="103">
        <v>668</v>
      </c>
      <c r="NK53" s="103">
        <v>0</v>
      </c>
      <c r="NL53" s="103">
        <v>0</v>
      </c>
      <c r="NM53" s="103">
        <v>0</v>
      </c>
      <c r="NN53" s="103">
        <v>1152</v>
      </c>
      <c r="NO53" s="103">
        <v>0</v>
      </c>
      <c r="NP53" s="103">
        <v>415</v>
      </c>
      <c r="NQ53" s="103">
        <v>1648</v>
      </c>
      <c r="NR53" s="103"/>
      <c r="NS53" s="103"/>
      <c r="NT53" s="103"/>
      <c r="NU53" s="103"/>
      <c r="NV53" s="103">
        <v>0</v>
      </c>
      <c r="NW53" s="103">
        <v>0</v>
      </c>
      <c r="NX53" s="103">
        <v>320</v>
      </c>
      <c r="NY53" s="103">
        <v>0</v>
      </c>
      <c r="NZ53" s="103">
        <v>1772</v>
      </c>
      <c r="OA53" s="103">
        <v>1120</v>
      </c>
      <c r="OB53" s="103"/>
      <c r="OC53" s="103">
        <v>144.19999999999999</v>
      </c>
      <c r="OD53" s="103">
        <v>0</v>
      </c>
      <c r="OE53" s="103">
        <v>0</v>
      </c>
      <c r="OF53" s="103">
        <v>1896</v>
      </c>
      <c r="OG53" s="103">
        <v>0</v>
      </c>
      <c r="OH53" s="103">
        <v>0</v>
      </c>
      <c r="OI53" s="103">
        <v>0</v>
      </c>
      <c r="OJ53" s="103">
        <v>0</v>
      </c>
      <c r="OK53" s="103">
        <v>0</v>
      </c>
      <c r="OL53" s="103">
        <v>0</v>
      </c>
      <c r="OM53" s="103">
        <v>71.3</v>
      </c>
      <c r="ON53" s="103">
        <v>3825</v>
      </c>
      <c r="OO53" s="103">
        <v>272.8</v>
      </c>
      <c r="OP53" s="103">
        <v>0</v>
      </c>
      <c r="OQ53" s="103">
        <v>96</v>
      </c>
      <c r="OR53" s="103">
        <v>738.6</v>
      </c>
      <c r="OS53" s="103">
        <v>8994.5</v>
      </c>
      <c r="OT53" s="103">
        <v>1604.2</v>
      </c>
      <c r="OU53" s="103">
        <v>1305</v>
      </c>
      <c r="OV53" s="103">
        <v>0.1</v>
      </c>
      <c r="OW53" s="103">
        <v>0</v>
      </c>
      <c r="OX53" s="103">
        <v>0</v>
      </c>
      <c r="OY53" s="103">
        <v>0</v>
      </c>
      <c r="OZ53" s="103">
        <v>3821.5</v>
      </c>
      <c r="PA53" s="103">
        <v>547.79999999999995</v>
      </c>
      <c r="PB53" s="103">
        <v>376.3</v>
      </c>
      <c r="PC53" s="103">
        <v>0</v>
      </c>
      <c r="PD53" s="103">
        <v>312.8</v>
      </c>
      <c r="PE53" s="103">
        <v>3561.6</v>
      </c>
      <c r="PF53" s="103">
        <v>2</v>
      </c>
      <c r="PG53" s="103">
        <v>2175.6</v>
      </c>
      <c r="PH53" s="103">
        <v>96</v>
      </c>
      <c r="PI53" s="103">
        <v>3000</v>
      </c>
      <c r="PJ53" s="103">
        <v>0</v>
      </c>
      <c r="PK53" s="103">
        <v>0</v>
      </c>
      <c r="PL53" s="103">
        <v>0</v>
      </c>
      <c r="PM53" s="103">
        <v>19.2</v>
      </c>
      <c r="PN53" s="103">
        <v>0</v>
      </c>
      <c r="PO53" s="103">
        <v>421.6</v>
      </c>
      <c r="PP53" s="103">
        <v>765.5</v>
      </c>
      <c r="PQ53" s="103">
        <v>1712</v>
      </c>
      <c r="PR53" s="103">
        <v>3312</v>
      </c>
      <c r="PS53" s="103">
        <v>1932.4</v>
      </c>
      <c r="PT53" s="103">
        <v>0</v>
      </c>
      <c r="PU53" s="103">
        <v>0</v>
      </c>
      <c r="PV53" s="103">
        <v>7328</v>
      </c>
      <c r="PW53" s="103">
        <v>1750</v>
      </c>
      <c r="PX53" s="103">
        <v>0</v>
      </c>
      <c r="PY53" s="103">
        <v>0</v>
      </c>
      <c r="PZ53" s="103">
        <v>0</v>
      </c>
      <c r="QA53" s="103">
        <v>0</v>
      </c>
      <c r="QB53" s="103">
        <v>2000</v>
      </c>
      <c r="QC53" s="103">
        <v>0</v>
      </c>
      <c r="QD53" s="103">
        <v>23620.400000000001</v>
      </c>
      <c r="QE53" s="103">
        <v>3919.5</v>
      </c>
      <c r="QF53" s="103">
        <v>0</v>
      </c>
      <c r="QG53" s="103">
        <v>105.2</v>
      </c>
      <c r="QH53" s="103">
        <v>0</v>
      </c>
      <c r="QI53" s="103">
        <v>461.2</v>
      </c>
      <c r="QJ53" s="103">
        <v>0</v>
      </c>
      <c r="QK53" s="103">
        <v>0</v>
      </c>
      <c r="QL53" s="103">
        <v>0</v>
      </c>
      <c r="QM53" s="103">
        <v>0</v>
      </c>
      <c r="QN53" s="103">
        <v>10800</v>
      </c>
      <c r="QO53" s="103"/>
      <c r="QP53" s="103">
        <v>962.9</v>
      </c>
      <c r="QQ53" s="103">
        <v>373.9</v>
      </c>
      <c r="QR53" s="103"/>
      <c r="QS53" s="103">
        <v>0</v>
      </c>
      <c r="QT53" s="103">
        <v>432</v>
      </c>
      <c r="QU53" s="103">
        <v>432</v>
      </c>
      <c r="QV53" s="103">
        <v>656</v>
      </c>
      <c r="QW53" s="103">
        <v>216</v>
      </c>
      <c r="QX53" s="103">
        <v>0</v>
      </c>
      <c r="QY53" s="103">
        <v>0</v>
      </c>
      <c r="QZ53" s="103">
        <v>176.8</v>
      </c>
      <c r="RA53" s="103">
        <v>1680</v>
      </c>
      <c r="RB53" s="103">
        <v>2696</v>
      </c>
      <c r="RC53" s="103">
        <v>1130</v>
      </c>
      <c r="RD53" s="103">
        <v>640</v>
      </c>
      <c r="RE53" s="103">
        <v>204</v>
      </c>
      <c r="RF53" s="103">
        <v>0</v>
      </c>
      <c r="RG53" s="103"/>
      <c r="RH53" s="103"/>
      <c r="RI53" s="103">
        <v>160</v>
      </c>
      <c r="RJ53" s="103">
        <v>576.5</v>
      </c>
      <c r="RK53" s="103">
        <v>364.8</v>
      </c>
      <c r="RL53" s="103">
        <v>396</v>
      </c>
      <c r="RM53" s="103">
        <v>552</v>
      </c>
      <c r="RN53" s="103">
        <v>4000</v>
      </c>
    </row>
    <row r="54" spans="1:482" s="60" customFormat="1" ht="11.25" x14ac:dyDescent="0.2">
      <c r="A54" s="125" t="s">
        <v>793</v>
      </c>
      <c r="B54" s="175" t="s">
        <v>877</v>
      </c>
      <c r="C54" s="175"/>
      <c r="D54" s="115">
        <f t="shared" si="252"/>
        <v>3147845.4</v>
      </c>
      <c r="E54" s="114"/>
      <c r="F54" s="114">
        <v>0</v>
      </c>
      <c r="G54" s="114">
        <v>1052.0999999999999</v>
      </c>
      <c r="H54" s="114">
        <v>91125</v>
      </c>
      <c r="I54" s="114">
        <v>7186.6</v>
      </c>
      <c r="J54" s="114">
        <v>3150</v>
      </c>
      <c r="K54" s="114">
        <v>0</v>
      </c>
      <c r="L54" s="114">
        <v>12501.7</v>
      </c>
      <c r="M54" s="114">
        <v>0</v>
      </c>
      <c r="N54" s="114">
        <v>0</v>
      </c>
      <c r="O54" s="114">
        <v>1622.5</v>
      </c>
      <c r="P54" s="114">
        <v>0</v>
      </c>
      <c r="Q54" s="114">
        <v>0</v>
      </c>
      <c r="R54" s="114">
        <v>111722.6</v>
      </c>
      <c r="S54" s="114">
        <v>4896</v>
      </c>
      <c r="T54" s="114">
        <v>11757.1</v>
      </c>
      <c r="U54" s="114">
        <v>0</v>
      </c>
      <c r="V54" s="114">
        <v>0</v>
      </c>
      <c r="W54" s="114">
        <v>0</v>
      </c>
      <c r="X54" s="114">
        <f>268.4+26818.5</f>
        <v>27086.9</v>
      </c>
      <c r="Y54" s="114">
        <v>0</v>
      </c>
      <c r="Z54" s="114">
        <v>0</v>
      </c>
      <c r="AA54" s="114">
        <v>0</v>
      </c>
      <c r="AB54" s="114">
        <v>0</v>
      </c>
      <c r="AC54" s="114">
        <v>209578.3</v>
      </c>
      <c r="AD54" s="114">
        <v>0</v>
      </c>
      <c r="AE54" s="114">
        <v>1563725.3</v>
      </c>
      <c r="AF54" s="114">
        <v>0</v>
      </c>
      <c r="AG54" s="114">
        <v>1783.5</v>
      </c>
      <c r="AH54" s="114">
        <v>27620.9</v>
      </c>
      <c r="AI54" s="114">
        <v>11953.2</v>
      </c>
      <c r="AJ54" s="114">
        <v>370366.6</v>
      </c>
      <c r="AK54" s="114">
        <v>2160</v>
      </c>
      <c r="AL54" s="114">
        <v>0</v>
      </c>
      <c r="AM54" s="114">
        <v>0</v>
      </c>
      <c r="AN54" s="114">
        <v>1000</v>
      </c>
      <c r="AO54" s="114">
        <v>4136.3999999999996</v>
      </c>
      <c r="AP54" s="114">
        <v>14760</v>
      </c>
      <c r="AQ54" s="114">
        <v>4341.6000000000004</v>
      </c>
      <c r="AR54" s="114">
        <v>0</v>
      </c>
      <c r="AS54" s="114">
        <v>0</v>
      </c>
      <c r="AT54" s="114">
        <v>13701.3</v>
      </c>
      <c r="AU54" s="114">
        <v>0</v>
      </c>
      <c r="AV54" s="114"/>
      <c r="AW54" s="114"/>
      <c r="AX54" s="114">
        <v>6739.2</v>
      </c>
      <c r="AY54" s="114">
        <v>0</v>
      </c>
      <c r="AZ54" s="114">
        <v>1500</v>
      </c>
      <c r="BA54" s="114">
        <v>4545.1000000000004</v>
      </c>
      <c r="BB54" s="114">
        <v>238</v>
      </c>
      <c r="BC54" s="114">
        <v>15538</v>
      </c>
      <c r="BD54" s="114">
        <v>2000</v>
      </c>
      <c r="BE54" s="114">
        <v>200204.6</v>
      </c>
      <c r="BF54" s="114">
        <v>0</v>
      </c>
      <c r="BG54" s="114">
        <v>0</v>
      </c>
      <c r="BH54" s="114">
        <v>0</v>
      </c>
      <c r="BI54" s="114">
        <v>5038.2</v>
      </c>
      <c r="BJ54" s="114">
        <v>3641</v>
      </c>
      <c r="BK54" s="114" t="s">
        <v>946</v>
      </c>
      <c r="BL54" s="103">
        <v>0</v>
      </c>
      <c r="BM54" s="103">
        <v>0</v>
      </c>
      <c r="BN54" s="103">
        <v>0</v>
      </c>
      <c r="BO54" s="103">
        <v>0</v>
      </c>
      <c r="BP54" s="103">
        <v>0</v>
      </c>
      <c r="BQ54" s="103">
        <v>0</v>
      </c>
      <c r="BR54" s="103">
        <v>136.19999999999999</v>
      </c>
      <c r="BS54" s="103">
        <v>40</v>
      </c>
      <c r="BT54" s="103">
        <v>0</v>
      </c>
      <c r="BU54" s="103">
        <v>0</v>
      </c>
      <c r="BV54" s="103">
        <v>0</v>
      </c>
      <c r="BW54" s="103">
        <v>134.19999999999999</v>
      </c>
      <c r="BX54" s="103">
        <v>0</v>
      </c>
      <c r="BY54" s="103">
        <v>0</v>
      </c>
      <c r="BZ54" s="103">
        <v>7547.5</v>
      </c>
      <c r="CA54" s="103">
        <v>0</v>
      </c>
      <c r="CB54" s="103">
        <v>0</v>
      </c>
      <c r="CC54" s="103">
        <v>6</v>
      </c>
      <c r="CD54" s="103">
        <v>0</v>
      </c>
      <c r="CE54" s="103">
        <v>0</v>
      </c>
      <c r="CF54" s="103">
        <v>0</v>
      </c>
      <c r="CG54" s="103">
        <v>0</v>
      </c>
      <c r="CH54" s="103">
        <v>6000</v>
      </c>
      <c r="CI54" s="103">
        <v>0</v>
      </c>
      <c r="CJ54" s="103">
        <v>0</v>
      </c>
      <c r="CK54" s="103">
        <v>0</v>
      </c>
      <c r="CL54" s="103">
        <v>0</v>
      </c>
      <c r="CM54" s="103">
        <v>20664</v>
      </c>
      <c r="CN54" s="103">
        <v>0</v>
      </c>
      <c r="CO54" s="103">
        <v>0</v>
      </c>
      <c r="CP54" s="103">
        <v>0</v>
      </c>
      <c r="CQ54" s="103">
        <v>0</v>
      </c>
      <c r="CR54" s="103">
        <v>0</v>
      </c>
      <c r="CS54" s="103">
        <v>1439.6</v>
      </c>
      <c r="CT54" s="103"/>
      <c r="CU54" s="103"/>
      <c r="CV54" s="103"/>
      <c r="CW54" s="103"/>
      <c r="CX54" s="103"/>
      <c r="CY54" s="103">
        <v>0</v>
      </c>
      <c r="CZ54" s="103"/>
      <c r="DA54" s="103"/>
      <c r="DB54" s="103"/>
      <c r="DC54" s="103"/>
      <c r="DD54" s="103"/>
      <c r="DE54" s="103">
        <v>0</v>
      </c>
      <c r="DF54" s="103">
        <v>1650</v>
      </c>
      <c r="DG54" s="103">
        <v>0</v>
      </c>
      <c r="DH54" s="103">
        <v>0</v>
      </c>
      <c r="DI54" s="103">
        <v>0</v>
      </c>
      <c r="DJ54" s="103">
        <v>0</v>
      </c>
      <c r="DK54" s="103"/>
      <c r="DL54" s="103">
        <v>0</v>
      </c>
      <c r="DM54" s="103">
        <v>0</v>
      </c>
      <c r="DN54" s="103">
        <v>0</v>
      </c>
      <c r="DO54" s="103">
        <v>0</v>
      </c>
      <c r="DP54" s="103">
        <v>157.4</v>
      </c>
      <c r="DQ54" s="103"/>
      <c r="DR54" s="103"/>
      <c r="DS54" s="103">
        <v>18051.599999999999</v>
      </c>
      <c r="DT54" s="103"/>
      <c r="DU54" s="103"/>
      <c r="DV54" s="103">
        <v>265.60000000000002</v>
      </c>
      <c r="DW54" s="103">
        <v>4586.7</v>
      </c>
      <c r="DX54" s="116"/>
      <c r="DY54" s="103"/>
      <c r="DZ54" s="103"/>
      <c r="EA54" s="103"/>
      <c r="EB54" s="103"/>
      <c r="EC54" s="103"/>
      <c r="ED54" s="103"/>
      <c r="EE54" s="103">
        <v>0</v>
      </c>
      <c r="EF54" s="103">
        <v>0</v>
      </c>
      <c r="EG54" s="103"/>
      <c r="EH54" s="103"/>
      <c r="EI54" s="103">
        <v>3204</v>
      </c>
      <c r="EJ54" s="103">
        <v>0</v>
      </c>
      <c r="EK54" s="103">
        <v>0</v>
      </c>
      <c r="EL54" s="103">
        <v>0</v>
      </c>
      <c r="EM54" s="103">
        <v>0</v>
      </c>
      <c r="EN54" s="103">
        <v>0</v>
      </c>
      <c r="EO54" s="103">
        <v>0</v>
      </c>
      <c r="EP54" s="103">
        <v>0</v>
      </c>
      <c r="EQ54" s="103">
        <v>856.8</v>
      </c>
      <c r="ER54" s="103">
        <v>0</v>
      </c>
      <c r="ES54" s="103">
        <v>0</v>
      </c>
      <c r="ET54" s="103">
        <v>2000</v>
      </c>
      <c r="EU54" s="103"/>
      <c r="EV54" s="103">
        <v>0</v>
      </c>
      <c r="EW54" s="103">
        <v>0</v>
      </c>
      <c r="EX54" s="103">
        <v>0</v>
      </c>
      <c r="EY54" s="103">
        <v>0</v>
      </c>
      <c r="EZ54" s="103">
        <v>0</v>
      </c>
      <c r="FA54" s="103">
        <v>0</v>
      </c>
      <c r="FB54" s="103">
        <v>0</v>
      </c>
      <c r="FC54" s="103">
        <v>0</v>
      </c>
      <c r="FD54" s="103">
        <v>0</v>
      </c>
      <c r="FE54" s="103">
        <v>0</v>
      </c>
      <c r="FF54" s="103">
        <v>0</v>
      </c>
      <c r="FG54" s="103">
        <v>0</v>
      </c>
      <c r="FH54" s="103">
        <v>0</v>
      </c>
      <c r="FI54" s="103">
        <v>0</v>
      </c>
      <c r="FJ54" s="103">
        <v>0</v>
      </c>
      <c r="FK54" s="103">
        <v>0</v>
      </c>
      <c r="FL54" s="103">
        <v>0</v>
      </c>
      <c r="FM54" s="103">
        <v>150</v>
      </c>
      <c r="FN54" s="103">
        <v>0</v>
      </c>
      <c r="FO54" s="103">
        <v>0</v>
      </c>
      <c r="FP54" s="103">
        <v>12847.8</v>
      </c>
      <c r="FQ54" s="103">
        <v>0</v>
      </c>
      <c r="FR54" s="103">
        <v>0</v>
      </c>
      <c r="FS54" s="103">
        <v>0</v>
      </c>
      <c r="FT54" s="103">
        <v>0</v>
      </c>
      <c r="FU54" s="103">
        <v>0</v>
      </c>
      <c r="FV54" s="103">
        <v>11365.3</v>
      </c>
      <c r="FW54" s="103">
        <v>0</v>
      </c>
      <c r="FX54" s="103">
        <v>0</v>
      </c>
      <c r="FY54" s="103">
        <v>0</v>
      </c>
      <c r="FZ54" s="103">
        <v>0</v>
      </c>
      <c r="GA54" s="103">
        <v>0</v>
      </c>
      <c r="GB54" s="103"/>
      <c r="GC54" s="103">
        <v>0</v>
      </c>
      <c r="GD54" s="103">
        <v>3875</v>
      </c>
      <c r="GE54" s="103"/>
      <c r="GF54" s="103"/>
      <c r="GG54" s="103"/>
      <c r="GH54" s="103">
        <v>400</v>
      </c>
      <c r="GI54" s="103"/>
      <c r="GJ54" s="103">
        <v>245</v>
      </c>
      <c r="GK54" s="103">
        <v>0</v>
      </c>
      <c r="GL54" s="103">
        <v>0</v>
      </c>
      <c r="GM54" s="103">
        <v>0</v>
      </c>
      <c r="GN54" s="103">
        <v>0</v>
      </c>
      <c r="GO54" s="103"/>
      <c r="GP54" s="103"/>
      <c r="GQ54" s="103"/>
      <c r="GR54" s="103"/>
      <c r="GS54" s="103">
        <v>0</v>
      </c>
      <c r="GT54" s="103">
        <v>0</v>
      </c>
      <c r="GU54" s="103">
        <v>9000</v>
      </c>
      <c r="GV54" s="103">
        <v>0</v>
      </c>
      <c r="GW54" s="103">
        <v>0</v>
      </c>
      <c r="GX54" s="103">
        <v>0</v>
      </c>
      <c r="GY54" s="103">
        <v>0</v>
      </c>
      <c r="GZ54" s="103">
        <v>0</v>
      </c>
      <c r="HA54" s="103">
        <v>596.9</v>
      </c>
      <c r="HB54" s="103">
        <v>1672</v>
      </c>
      <c r="HC54" s="103"/>
      <c r="HD54" s="103"/>
      <c r="HE54" s="103">
        <v>390</v>
      </c>
      <c r="HF54" s="103">
        <v>0</v>
      </c>
      <c r="HG54" s="103">
        <v>0</v>
      </c>
      <c r="HH54" s="103">
        <v>0</v>
      </c>
      <c r="HI54" s="103">
        <v>7169.1</v>
      </c>
      <c r="HJ54" s="103">
        <v>0</v>
      </c>
      <c r="HK54" s="103">
        <v>0</v>
      </c>
      <c r="HL54" s="103">
        <v>0</v>
      </c>
      <c r="HM54" s="103"/>
      <c r="HN54" s="103"/>
      <c r="HO54" s="103"/>
      <c r="HP54" s="103"/>
      <c r="HQ54" s="103"/>
      <c r="HR54" s="103"/>
      <c r="HS54" s="103"/>
      <c r="HT54" s="103"/>
      <c r="HU54" s="103"/>
      <c r="HV54" s="103"/>
      <c r="HW54" s="103">
        <v>0</v>
      </c>
      <c r="HX54" s="103"/>
      <c r="HY54" s="103"/>
      <c r="HZ54" s="103">
        <v>0</v>
      </c>
      <c r="IA54" s="103">
        <v>0</v>
      </c>
      <c r="IB54" s="103">
        <v>0</v>
      </c>
      <c r="IC54" s="103">
        <v>6984.3</v>
      </c>
      <c r="ID54" s="103">
        <v>2484.6</v>
      </c>
      <c r="IE54" s="103">
        <v>0</v>
      </c>
      <c r="IF54" s="103">
        <v>0</v>
      </c>
      <c r="IG54" s="103">
        <v>0</v>
      </c>
      <c r="IH54" s="103">
        <v>0</v>
      </c>
      <c r="II54" s="103">
        <v>1938.6</v>
      </c>
      <c r="IJ54" s="103">
        <v>7133.8</v>
      </c>
      <c r="IK54" s="103">
        <v>0</v>
      </c>
      <c r="IL54" s="103">
        <v>0</v>
      </c>
      <c r="IM54" s="103">
        <v>4000</v>
      </c>
      <c r="IN54" s="103">
        <v>0</v>
      </c>
      <c r="IO54" s="103">
        <v>0</v>
      </c>
      <c r="IP54" s="103">
        <v>0</v>
      </c>
      <c r="IQ54" s="103">
        <v>0</v>
      </c>
      <c r="IR54" s="103">
        <v>1200</v>
      </c>
      <c r="IS54" s="103">
        <v>600</v>
      </c>
      <c r="IT54" s="103">
        <v>0</v>
      </c>
      <c r="IU54" s="103">
        <v>7281.6</v>
      </c>
      <c r="IV54" s="103">
        <v>0</v>
      </c>
      <c r="IW54" s="103">
        <v>0</v>
      </c>
      <c r="IX54" s="103">
        <v>0</v>
      </c>
      <c r="IY54" s="103">
        <v>0</v>
      </c>
      <c r="IZ54" s="103">
        <v>0</v>
      </c>
      <c r="JA54" s="103">
        <v>0</v>
      </c>
      <c r="JB54" s="103">
        <v>1500</v>
      </c>
      <c r="JC54" s="103">
        <v>0</v>
      </c>
      <c r="JD54" s="103"/>
      <c r="JE54" s="103"/>
      <c r="JF54" s="103"/>
      <c r="JG54" s="103"/>
      <c r="JH54" s="103"/>
      <c r="JI54" s="103"/>
      <c r="JJ54" s="103">
        <v>0</v>
      </c>
      <c r="JK54" s="103"/>
      <c r="JL54" s="103">
        <v>2916</v>
      </c>
      <c r="JM54" s="103">
        <v>0</v>
      </c>
      <c r="JN54" s="103">
        <v>0</v>
      </c>
      <c r="JO54" s="103">
        <v>0</v>
      </c>
      <c r="JP54" s="103"/>
      <c r="JQ54" s="103"/>
      <c r="JR54" s="103"/>
      <c r="JS54" s="103"/>
      <c r="JT54" s="103"/>
      <c r="JU54" s="103"/>
      <c r="JV54" s="103"/>
      <c r="JW54" s="103">
        <v>800</v>
      </c>
      <c r="JX54" s="103">
        <v>0</v>
      </c>
      <c r="JY54" s="103">
        <v>0</v>
      </c>
      <c r="JZ54" s="103">
        <v>0</v>
      </c>
      <c r="KA54" s="103">
        <v>1894.1</v>
      </c>
      <c r="KB54" s="103"/>
      <c r="KC54" s="103"/>
      <c r="KD54" s="103"/>
      <c r="KE54" s="103"/>
      <c r="KF54" s="103"/>
      <c r="KG54" s="103">
        <v>0</v>
      </c>
      <c r="KH54" s="103">
        <v>4000</v>
      </c>
      <c r="KI54" s="103">
        <v>0</v>
      </c>
      <c r="KJ54" s="103">
        <v>912.5</v>
      </c>
      <c r="KK54" s="103">
        <v>0</v>
      </c>
      <c r="KL54" s="103">
        <v>0</v>
      </c>
      <c r="KM54" s="103">
        <v>0</v>
      </c>
      <c r="KN54" s="103">
        <v>0</v>
      </c>
      <c r="KO54" s="103">
        <v>0</v>
      </c>
      <c r="KP54" s="103">
        <v>0</v>
      </c>
      <c r="KQ54" s="103">
        <v>0</v>
      </c>
      <c r="KR54" s="103">
        <v>17438.5</v>
      </c>
      <c r="KS54" s="103">
        <v>0</v>
      </c>
      <c r="KT54" s="103">
        <v>0</v>
      </c>
      <c r="KU54" s="103">
        <v>0</v>
      </c>
      <c r="KV54" s="103">
        <v>0</v>
      </c>
      <c r="KW54" s="103">
        <v>0</v>
      </c>
      <c r="KX54" s="103">
        <v>116615.8</v>
      </c>
      <c r="KY54" s="103">
        <v>0</v>
      </c>
      <c r="KZ54" s="103">
        <v>2895</v>
      </c>
      <c r="LA54" s="103">
        <v>0</v>
      </c>
      <c r="LB54" s="103">
        <v>0</v>
      </c>
      <c r="LC54" s="103"/>
      <c r="LD54" s="103"/>
      <c r="LE54" s="103"/>
      <c r="LF54" s="103"/>
      <c r="LG54" s="103">
        <v>0</v>
      </c>
      <c r="LH54" s="103">
        <v>0</v>
      </c>
      <c r="LI54" s="103"/>
      <c r="LJ54" s="103"/>
      <c r="LK54" s="103"/>
      <c r="LL54" s="103"/>
      <c r="LM54" s="103"/>
      <c r="LN54" s="103"/>
      <c r="LO54" s="103"/>
      <c r="LP54" s="103"/>
      <c r="LQ54" s="103"/>
      <c r="LR54" s="103"/>
      <c r="LS54" s="103"/>
      <c r="LT54" s="103">
        <v>0</v>
      </c>
      <c r="LU54" s="103">
        <v>0</v>
      </c>
      <c r="LV54" s="103">
        <v>18864</v>
      </c>
      <c r="LW54" s="103">
        <v>0</v>
      </c>
      <c r="LX54" s="103">
        <v>1800</v>
      </c>
      <c r="LY54" s="103">
        <v>0</v>
      </c>
      <c r="LZ54" s="103">
        <v>0</v>
      </c>
      <c r="MA54" s="103">
        <v>0</v>
      </c>
      <c r="MB54" s="103">
        <v>0</v>
      </c>
      <c r="MC54" s="103">
        <v>0</v>
      </c>
      <c r="MD54" s="103">
        <v>0</v>
      </c>
      <c r="ME54" s="103">
        <v>0</v>
      </c>
      <c r="MF54" s="103">
        <v>0</v>
      </c>
      <c r="MG54" s="103">
        <v>0</v>
      </c>
      <c r="MH54" s="103">
        <v>0</v>
      </c>
      <c r="MI54" s="103">
        <v>0</v>
      </c>
      <c r="MJ54" s="103">
        <v>0</v>
      </c>
      <c r="MK54" s="103">
        <v>0</v>
      </c>
      <c r="ML54" s="103">
        <v>0</v>
      </c>
      <c r="MM54" s="103">
        <v>4487</v>
      </c>
      <c r="MN54" s="103">
        <v>0</v>
      </c>
      <c r="MO54" s="103">
        <v>0</v>
      </c>
      <c r="MP54" s="103">
        <v>0</v>
      </c>
      <c r="MQ54" s="103">
        <v>0</v>
      </c>
      <c r="MR54" s="103">
        <v>0</v>
      </c>
      <c r="MS54" s="103">
        <v>1200</v>
      </c>
      <c r="MT54" s="103">
        <v>0</v>
      </c>
      <c r="MU54" s="103">
        <v>0</v>
      </c>
      <c r="MV54" s="103">
        <v>0</v>
      </c>
      <c r="MW54" s="103">
        <v>0</v>
      </c>
      <c r="MX54" s="103">
        <v>0</v>
      </c>
      <c r="MY54" s="103">
        <v>0</v>
      </c>
      <c r="MZ54" s="103">
        <v>0</v>
      </c>
      <c r="NA54" s="103">
        <v>15842.5</v>
      </c>
      <c r="NB54" s="103">
        <v>0</v>
      </c>
      <c r="NC54" s="103"/>
      <c r="ND54" s="103">
        <v>0</v>
      </c>
      <c r="NE54" s="103"/>
      <c r="NF54" s="103"/>
      <c r="NG54" s="103">
        <v>0</v>
      </c>
      <c r="NH54" s="103">
        <v>0</v>
      </c>
      <c r="NI54" s="103">
        <v>1000</v>
      </c>
      <c r="NJ54" s="103">
        <v>0</v>
      </c>
      <c r="NK54" s="103">
        <v>0</v>
      </c>
      <c r="NL54" s="103">
        <v>0</v>
      </c>
      <c r="NM54" s="103">
        <v>9806.2000000000007</v>
      </c>
      <c r="NN54" s="103">
        <v>0</v>
      </c>
      <c r="NO54" s="103">
        <v>0</v>
      </c>
      <c r="NP54" s="103">
        <v>0</v>
      </c>
      <c r="NQ54" s="103">
        <v>0</v>
      </c>
      <c r="NR54" s="103"/>
      <c r="NS54" s="103"/>
      <c r="NT54" s="103"/>
      <c r="NU54" s="103"/>
      <c r="NV54" s="103">
        <v>0</v>
      </c>
      <c r="NW54" s="103">
        <v>0</v>
      </c>
      <c r="NX54" s="103">
        <v>0</v>
      </c>
      <c r="NY54" s="103">
        <v>0</v>
      </c>
      <c r="NZ54" s="103">
        <v>0</v>
      </c>
      <c r="OA54" s="103">
        <v>7400</v>
      </c>
      <c r="OB54" s="103"/>
      <c r="OC54" s="103">
        <v>882</v>
      </c>
      <c r="OD54" s="103">
        <v>0</v>
      </c>
      <c r="OE54" s="103">
        <v>0</v>
      </c>
      <c r="OF54" s="103">
        <v>1000</v>
      </c>
      <c r="OG54" s="103">
        <v>0</v>
      </c>
      <c r="OH54" s="103">
        <v>0</v>
      </c>
      <c r="OI54" s="103">
        <v>0</v>
      </c>
      <c r="OJ54" s="103">
        <v>0</v>
      </c>
      <c r="OK54" s="103">
        <v>0</v>
      </c>
      <c r="OL54" s="103">
        <v>0</v>
      </c>
      <c r="OM54" s="103">
        <v>0</v>
      </c>
      <c r="ON54" s="103">
        <v>0</v>
      </c>
      <c r="OO54" s="103">
        <v>0</v>
      </c>
      <c r="OP54" s="103">
        <v>3570.8</v>
      </c>
      <c r="OQ54" s="103">
        <v>0</v>
      </c>
      <c r="OR54" s="103">
        <v>0</v>
      </c>
      <c r="OS54" s="103">
        <v>0</v>
      </c>
      <c r="OT54" s="103">
        <v>0</v>
      </c>
      <c r="OU54" s="103">
        <v>295.5</v>
      </c>
      <c r="OV54" s="103">
        <v>0</v>
      </c>
      <c r="OW54" s="103">
        <v>0</v>
      </c>
      <c r="OX54" s="103">
        <v>0</v>
      </c>
      <c r="OY54" s="103">
        <v>0</v>
      </c>
      <c r="OZ54" s="103">
        <v>0</v>
      </c>
      <c r="PA54" s="103">
        <v>1053.8</v>
      </c>
      <c r="PB54" s="103">
        <v>0</v>
      </c>
      <c r="PC54" s="103">
        <v>0</v>
      </c>
      <c r="PD54" s="103">
        <v>1093.5</v>
      </c>
      <c r="PE54" s="103">
        <v>1000</v>
      </c>
      <c r="PF54" s="103">
        <v>0</v>
      </c>
      <c r="PG54" s="103">
        <v>22222.799999999999</v>
      </c>
      <c r="PH54" s="103">
        <v>0</v>
      </c>
      <c r="PI54" s="103">
        <v>0</v>
      </c>
      <c r="PJ54" s="103">
        <v>0</v>
      </c>
      <c r="PK54" s="103">
        <v>0</v>
      </c>
      <c r="PL54" s="103">
        <v>0</v>
      </c>
      <c r="PM54" s="103">
        <v>0</v>
      </c>
      <c r="PN54" s="103">
        <v>0</v>
      </c>
      <c r="PO54" s="103">
        <v>0</v>
      </c>
      <c r="PP54" s="103">
        <v>0</v>
      </c>
      <c r="PQ54" s="103">
        <v>1000</v>
      </c>
      <c r="PR54" s="103">
        <v>0</v>
      </c>
      <c r="PS54" s="103">
        <v>0</v>
      </c>
      <c r="PT54" s="103">
        <v>0</v>
      </c>
      <c r="PU54" s="103">
        <v>0</v>
      </c>
      <c r="PV54" s="103">
        <v>0</v>
      </c>
      <c r="PW54" s="103">
        <v>5880</v>
      </c>
      <c r="PX54" s="103">
        <v>0</v>
      </c>
      <c r="PY54" s="103">
        <v>0</v>
      </c>
      <c r="PZ54" s="103">
        <v>0</v>
      </c>
      <c r="QA54" s="103">
        <v>0</v>
      </c>
      <c r="QB54" s="103">
        <v>0</v>
      </c>
      <c r="QC54" s="103">
        <v>750</v>
      </c>
      <c r="QD54" s="103">
        <v>521.1</v>
      </c>
      <c r="QE54" s="103">
        <v>0</v>
      </c>
      <c r="QF54" s="103">
        <v>0</v>
      </c>
      <c r="QG54" s="103">
        <v>0</v>
      </c>
      <c r="QH54" s="103">
        <v>1000</v>
      </c>
      <c r="QI54" s="103">
        <v>4627.2</v>
      </c>
      <c r="QJ54" s="103">
        <v>4646.8</v>
      </c>
      <c r="QK54" s="103">
        <v>0</v>
      </c>
      <c r="QL54" s="103">
        <v>1600</v>
      </c>
      <c r="QM54" s="103">
        <v>3185</v>
      </c>
      <c r="QN54" s="103"/>
      <c r="QO54" s="103"/>
      <c r="QP54" s="103">
        <v>0</v>
      </c>
      <c r="QQ54" s="103"/>
      <c r="QR54" s="103"/>
      <c r="QS54" s="103">
        <v>0</v>
      </c>
      <c r="QT54" s="103">
        <v>0</v>
      </c>
      <c r="QU54" s="103">
        <v>0</v>
      </c>
      <c r="QV54" s="103">
        <v>0</v>
      </c>
      <c r="QW54" s="103">
        <v>0</v>
      </c>
      <c r="QX54" s="103">
        <v>1400</v>
      </c>
      <c r="QY54" s="103">
        <v>0</v>
      </c>
      <c r="QZ54" s="103">
        <v>0</v>
      </c>
      <c r="RA54" s="103">
        <v>0</v>
      </c>
      <c r="RB54" s="103">
        <v>0</v>
      </c>
      <c r="RC54" s="103">
        <v>0</v>
      </c>
      <c r="RD54" s="103">
        <v>0</v>
      </c>
      <c r="RE54" s="103">
        <v>0</v>
      </c>
      <c r="RF54" s="103">
        <v>0</v>
      </c>
      <c r="RG54" s="103"/>
      <c r="RH54" s="103">
        <v>0</v>
      </c>
      <c r="RI54" s="103">
        <v>0</v>
      </c>
      <c r="RJ54" s="103">
        <v>0</v>
      </c>
      <c r="RK54" s="103">
        <v>0</v>
      </c>
      <c r="RL54" s="103">
        <v>0</v>
      </c>
      <c r="RM54" s="103">
        <v>0</v>
      </c>
      <c r="RN54" s="103">
        <v>0</v>
      </c>
    </row>
    <row r="55" spans="1:482" s="60" customFormat="1" ht="11.25" customHeight="1" x14ac:dyDescent="0.2">
      <c r="A55" s="125" t="s">
        <v>794</v>
      </c>
      <c r="B55" s="175" t="s">
        <v>878</v>
      </c>
      <c r="C55" s="175"/>
      <c r="D55" s="115">
        <f t="shared" si="252"/>
        <v>1038.5</v>
      </c>
      <c r="E55" s="114"/>
      <c r="F55" s="114">
        <v>0</v>
      </c>
      <c r="G55" s="114">
        <v>0</v>
      </c>
      <c r="H55" s="114">
        <v>0</v>
      </c>
      <c r="I55" s="114">
        <v>0</v>
      </c>
      <c r="J55" s="114">
        <v>0</v>
      </c>
      <c r="K55" s="114">
        <v>0</v>
      </c>
      <c r="L55" s="114">
        <v>0</v>
      </c>
      <c r="M55" s="114">
        <v>0</v>
      </c>
      <c r="N55" s="114">
        <v>0</v>
      </c>
      <c r="O55" s="114">
        <v>0</v>
      </c>
      <c r="P55" s="114">
        <v>0</v>
      </c>
      <c r="Q55" s="114">
        <v>0</v>
      </c>
      <c r="R55" s="114">
        <v>0</v>
      </c>
      <c r="S55" s="114">
        <v>0</v>
      </c>
      <c r="T55" s="114">
        <v>0</v>
      </c>
      <c r="U55" s="114">
        <v>0</v>
      </c>
      <c r="V55" s="114">
        <v>0</v>
      </c>
      <c r="W55" s="114">
        <v>0</v>
      </c>
      <c r="X55" s="114">
        <v>0</v>
      </c>
      <c r="Y55" s="114">
        <v>0</v>
      </c>
      <c r="Z55" s="114">
        <v>0</v>
      </c>
      <c r="AA55" s="114">
        <v>0</v>
      </c>
      <c r="AB55" s="114">
        <v>0</v>
      </c>
      <c r="AC55" s="114">
        <v>0</v>
      </c>
      <c r="AD55" s="114">
        <v>0</v>
      </c>
      <c r="AE55" s="114">
        <v>0</v>
      </c>
      <c r="AF55" s="114">
        <v>0</v>
      </c>
      <c r="AG55" s="114">
        <v>0</v>
      </c>
      <c r="AH55" s="114"/>
      <c r="AI55" s="114">
        <v>0</v>
      </c>
      <c r="AJ55" s="114">
        <v>0</v>
      </c>
      <c r="AK55" s="114">
        <v>0</v>
      </c>
      <c r="AL55" s="114">
        <v>0</v>
      </c>
      <c r="AM55" s="114">
        <v>0</v>
      </c>
      <c r="AN55" s="114">
        <v>0</v>
      </c>
      <c r="AO55" s="114">
        <v>0</v>
      </c>
      <c r="AP55" s="114">
        <v>0</v>
      </c>
      <c r="AQ55" s="114">
        <v>0</v>
      </c>
      <c r="AR55" s="114">
        <v>0</v>
      </c>
      <c r="AS55" s="114">
        <v>0</v>
      </c>
      <c r="AT55" s="114">
        <v>0</v>
      </c>
      <c r="AU55" s="114">
        <v>0</v>
      </c>
      <c r="AV55" s="114"/>
      <c r="AW55" s="114"/>
      <c r="AX55" s="114">
        <v>0</v>
      </c>
      <c r="AY55" s="114">
        <v>0</v>
      </c>
      <c r="AZ55" s="114">
        <v>0</v>
      </c>
      <c r="BA55" s="114">
        <v>0</v>
      </c>
      <c r="BB55" s="114">
        <v>0</v>
      </c>
      <c r="BC55" s="114">
        <v>0</v>
      </c>
      <c r="BD55" s="114">
        <v>0</v>
      </c>
      <c r="BE55" s="114">
        <v>0</v>
      </c>
      <c r="BF55" s="114">
        <v>0</v>
      </c>
      <c r="BG55" s="114">
        <v>0</v>
      </c>
      <c r="BH55" s="114">
        <v>0</v>
      </c>
      <c r="BI55" s="114">
        <v>0</v>
      </c>
      <c r="BJ55" s="114">
        <v>0</v>
      </c>
      <c r="BK55" s="114" t="s">
        <v>947</v>
      </c>
      <c r="BL55" s="103">
        <v>0</v>
      </c>
      <c r="BM55" s="103">
        <v>0</v>
      </c>
      <c r="BN55" s="103">
        <v>0</v>
      </c>
      <c r="BO55" s="103">
        <v>0</v>
      </c>
      <c r="BP55" s="103">
        <v>0</v>
      </c>
      <c r="BQ55" s="103">
        <v>0</v>
      </c>
      <c r="BR55" s="103">
        <v>0</v>
      </c>
      <c r="BS55" s="103">
        <v>0</v>
      </c>
      <c r="BT55" s="103">
        <v>0</v>
      </c>
      <c r="BU55" s="103">
        <v>0</v>
      </c>
      <c r="BV55" s="103">
        <v>0</v>
      </c>
      <c r="BW55" s="103">
        <v>0</v>
      </c>
      <c r="BX55" s="103">
        <v>0</v>
      </c>
      <c r="BY55" s="103">
        <v>0</v>
      </c>
      <c r="BZ55" s="103">
        <v>0</v>
      </c>
      <c r="CA55" s="103">
        <v>0</v>
      </c>
      <c r="CB55" s="103">
        <v>0</v>
      </c>
      <c r="CC55" s="103">
        <v>0</v>
      </c>
      <c r="CD55" s="103">
        <v>0</v>
      </c>
      <c r="CE55" s="103">
        <v>0</v>
      </c>
      <c r="CF55" s="103">
        <v>0</v>
      </c>
      <c r="CG55" s="103">
        <v>0</v>
      </c>
      <c r="CH55" s="103">
        <v>0</v>
      </c>
      <c r="CI55" s="103">
        <v>0</v>
      </c>
      <c r="CJ55" s="103">
        <v>0</v>
      </c>
      <c r="CK55" s="103">
        <v>0</v>
      </c>
      <c r="CL55" s="103">
        <v>0</v>
      </c>
      <c r="CM55" s="103">
        <v>0</v>
      </c>
      <c r="CN55" s="103">
        <v>0</v>
      </c>
      <c r="CO55" s="103">
        <v>0</v>
      </c>
      <c r="CP55" s="103">
        <v>0</v>
      </c>
      <c r="CQ55" s="103">
        <v>0</v>
      </c>
      <c r="CR55" s="103">
        <v>0</v>
      </c>
      <c r="CS55" s="103">
        <v>0</v>
      </c>
      <c r="CT55" s="103"/>
      <c r="CU55" s="103"/>
      <c r="CV55" s="103"/>
      <c r="CW55" s="103"/>
      <c r="CX55" s="103"/>
      <c r="CY55" s="103">
        <v>0</v>
      </c>
      <c r="CZ55" s="103"/>
      <c r="DA55" s="103"/>
      <c r="DB55" s="103"/>
      <c r="DC55" s="103"/>
      <c r="DD55" s="103"/>
      <c r="DE55" s="103">
        <v>0</v>
      </c>
      <c r="DF55" s="103">
        <v>0</v>
      </c>
      <c r="DG55" s="103">
        <v>0</v>
      </c>
      <c r="DH55" s="103">
        <v>0</v>
      </c>
      <c r="DI55" s="103">
        <v>0</v>
      </c>
      <c r="DJ55" s="103">
        <v>0</v>
      </c>
      <c r="DK55" s="103"/>
      <c r="DL55" s="103">
        <v>0</v>
      </c>
      <c r="DM55" s="103">
        <v>0</v>
      </c>
      <c r="DN55" s="103">
        <v>0</v>
      </c>
      <c r="DO55" s="103">
        <v>0</v>
      </c>
      <c r="DP55" s="103"/>
      <c r="DQ55" s="103"/>
      <c r="DR55" s="103"/>
      <c r="DS55" s="103"/>
      <c r="DT55" s="103"/>
      <c r="DU55" s="103"/>
      <c r="DV55" s="103">
        <v>0</v>
      </c>
      <c r="DW55" s="103"/>
      <c r="DX55" s="116"/>
      <c r="DY55" s="103"/>
      <c r="DZ55" s="103"/>
      <c r="EA55" s="103"/>
      <c r="EB55" s="103"/>
      <c r="EC55" s="103"/>
      <c r="ED55" s="103"/>
      <c r="EE55" s="103">
        <v>0</v>
      </c>
      <c r="EF55" s="103">
        <v>0</v>
      </c>
      <c r="EG55" s="103"/>
      <c r="EH55" s="103"/>
      <c r="EI55" s="103">
        <v>0</v>
      </c>
      <c r="EJ55" s="103">
        <v>0</v>
      </c>
      <c r="EK55" s="103">
        <v>0</v>
      </c>
      <c r="EL55" s="103">
        <v>0</v>
      </c>
      <c r="EM55" s="103">
        <v>0</v>
      </c>
      <c r="EN55" s="103">
        <v>0</v>
      </c>
      <c r="EO55" s="103">
        <v>0</v>
      </c>
      <c r="EP55" s="103">
        <v>0</v>
      </c>
      <c r="EQ55" s="103">
        <v>0</v>
      </c>
      <c r="ER55" s="103">
        <v>0</v>
      </c>
      <c r="ES55" s="103">
        <v>0</v>
      </c>
      <c r="ET55" s="103">
        <v>0</v>
      </c>
      <c r="EU55" s="103"/>
      <c r="EV55" s="103">
        <v>0</v>
      </c>
      <c r="EW55" s="103">
        <v>0</v>
      </c>
      <c r="EX55" s="103">
        <v>0</v>
      </c>
      <c r="EY55" s="103">
        <v>0</v>
      </c>
      <c r="EZ55" s="103">
        <v>0</v>
      </c>
      <c r="FA55" s="103">
        <v>0</v>
      </c>
      <c r="FB55" s="103">
        <v>0</v>
      </c>
      <c r="FC55" s="103">
        <v>0</v>
      </c>
      <c r="FD55" s="103">
        <v>0</v>
      </c>
      <c r="FE55" s="103">
        <v>0</v>
      </c>
      <c r="FF55" s="103">
        <v>0</v>
      </c>
      <c r="FG55" s="103">
        <v>0</v>
      </c>
      <c r="FH55" s="103">
        <v>0</v>
      </c>
      <c r="FI55" s="103">
        <v>0</v>
      </c>
      <c r="FJ55" s="103">
        <v>0</v>
      </c>
      <c r="FK55" s="103">
        <v>0</v>
      </c>
      <c r="FL55" s="103">
        <v>0</v>
      </c>
      <c r="FM55" s="103">
        <v>0</v>
      </c>
      <c r="FN55" s="103">
        <v>0</v>
      </c>
      <c r="FO55" s="103">
        <v>0</v>
      </c>
      <c r="FP55" s="103">
        <v>0</v>
      </c>
      <c r="FQ55" s="103">
        <v>0</v>
      </c>
      <c r="FR55" s="103">
        <v>0</v>
      </c>
      <c r="FS55" s="103">
        <v>0</v>
      </c>
      <c r="FT55" s="103">
        <v>0</v>
      </c>
      <c r="FU55" s="103">
        <v>0</v>
      </c>
      <c r="FV55" s="103">
        <v>0</v>
      </c>
      <c r="FW55" s="103">
        <v>0</v>
      </c>
      <c r="FX55" s="103">
        <v>0</v>
      </c>
      <c r="FY55" s="103">
        <v>0</v>
      </c>
      <c r="FZ55" s="103">
        <v>0</v>
      </c>
      <c r="GA55" s="103">
        <v>0</v>
      </c>
      <c r="GB55" s="103"/>
      <c r="GC55" s="103">
        <v>0</v>
      </c>
      <c r="GD55" s="103">
        <v>0</v>
      </c>
      <c r="GE55" s="103"/>
      <c r="GF55" s="103"/>
      <c r="GG55" s="103"/>
      <c r="GH55" s="103"/>
      <c r="GI55" s="103"/>
      <c r="GJ55" s="103">
        <v>0</v>
      </c>
      <c r="GK55" s="103">
        <v>0</v>
      </c>
      <c r="GL55" s="103">
        <v>0</v>
      </c>
      <c r="GM55" s="103">
        <v>0</v>
      </c>
      <c r="GN55" s="103">
        <v>0</v>
      </c>
      <c r="GO55" s="103"/>
      <c r="GP55" s="103"/>
      <c r="GQ55" s="103"/>
      <c r="GR55" s="103"/>
      <c r="GS55" s="103">
        <v>0</v>
      </c>
      <c r="GT55" s="103">
        <v>0</v>
      </c>
      <c r="GU55" s="103">
        <v>0</v>
      </c>
      <c r="GV55" s="103">
        <v>0</v>
      </c>
      <c r="GW55" s="103">
        <v>0</v>
      </c>
      <c r="GX55" s="103">
        <v>0</v>
      </c>
      <c r="GY55" s="103">
        <v>0</v>
      </c>
      <c r="GZ55" s="103">
        <v>0</v>
      </c>
      <c r="HA55" s="103">
        <v>0</v>
      </c>
      <c r="HB55" s="103">
        <v>75</v>
      </c>
      <c r="HC55" s="103"/>
      <c r="HD55" s="103"/>
      <c r="HE55" s="103">
        <v>0</v>
      </c>
      <c r="HF55" s="103">
        <v>0</v>
      </c>
      <c r="HG55" s="103">
        <v>0</v>
      </c>
      <c r="HH55" s="103">
        <v>0</v>
      </c>
      <c r="HI55" s="103">
        <v>0</v>
      </c>
      <c r="HJ55" s="103">
        <v>0</v>
      </c>
      <c r="HK55" s="103">
        <v>0</v>
      </c>
      <c r="HL55" s="103">
        <v>0</v>
      </c>
      <c r="HM55" s="103"/>
      <c r="HN55" s="103"/>
      <c r="HO55" s="103"/>
      <c r="HP55" s="103"/>
      <c r="HQ55" s="103"/>
      <c r="HR55" s="103"/>
      <c r="HS55" s="103"/>
      <c r="HT55" s="103"/>
      <c r="HU55" s="103"/>
      <c r="HV55" s="103"/>
      <c r="HW55" s="103">
        <v>0</v>
      </c>
      <c r="HX55" s="103"/>
      <c r="HY55" s="103"/>
      <c r="HZ55" s="103">
        <v>0</v>
      </c>
      <c r="IA55" s="103">
        <v>0</v>
      </c>
      <c r="IB55" s="103">
        <v>0</v>
      </c>
      <c r="IC55" s="103">
        <v>0</v>
      </c>
      <c r="ID55" s="103">
        <v>0</v>
      </c>
      <c r="IE55" s="103">
        <v>0</v>
      </c>
      <c r="IF55" s="103">
        <v>0</v>
      </c>
      <c r="IG55" s="103">
        <v>0</v>
      </c>
      <c r="IH55" s="103">
        <v>0</v>
      </c>
      <c r="II55" s="103">
        <v>0</v>
      </c>
      <c r="IJ55" s="103">
        <v>0</v>
      </c>
      <c r="IK55" s="103">
        <v>0</v>
      </c>
      <c r="IL55" s="103">
        <v>0</v>
      </c>
      <c r="IM55" s="103">
        <v>0</v>
      </c>
      <c r="IN55" s="103">
        <v>0</v>
      </c>
      <c r="IO55" s="103">
        <v>0</v>
      </c>
      <c r="IP55" s="103">
        <v>0</v>
      </c>
      <c r="IQ55" s="103">
        <v>0</v>
      </c>
      <c r="IR55" s="103">
        <v>0</v>
      </c>
      <c r="IS55" s="103">
        <v>0</v>
      </c>
      <c r="IT55" s="103">
        <v>0</v>
      </c>
      <c r="IU55" s="103">
        <v>0</v>
      </c>
      <c r="IV55" s="103">
        <v>0</v>
      </c>
      <c r="IW55" s="103">
        <v>0</v>
      </c>
      <c r="IX55" s="103">
        <v>0</v>
      </c>
      <c r="IY55" s="103">
        <v>0</v>
      </c>
      <c r="IZ55" s="103">
        <v>0</v>
      </c>
      <c r="JA55" s="103">
        <v>0</v>
      </c>
      <c r="JB55" s="103">
        <v>0</v>
      </c>
      <c r="JC55" s="103">
        <v>0</v>
      </c>
      <c r="JD55" s="103"/>
      <c r="JE55" s="103"/>
      <c r="JF55" s="103"/>
      <c r="JG55" s="103"/>
      <c r="JH55" s="103"/>
      <c r="JI55" s="103"/>
      <c r="JJ55" s="103">
        <v>0</v>
      </c>
      <c r="JK55" s="103"/>
      <c r="JL55" s="103"/>
      <c r="JM55" s="103">
        <v>0</v>
      </c>
      <c r="JN55" s="103">
        <v>0</v>
      </c>
      <c r="JO55" s="103">
        <v>0</v>
      </c>
      <c r="JP55" s="103"/>
      <c r="JQ55" s="103"/>
      <c r="JR55" s="103"/>
      <c r="JS55" s="103"/>
      <c r="JT55" s="103"/>
      <c r="JU55" s="103"/>
      <c r="JV55" s="103"/>
      <c r="JW55" s="103"/>
      <c r="JX55" s="103">
        <v>0</v>
      </c>
      <c r="JY55" s="103">
        <v>0</v>
      </c>
      <c r="JZ55" s="103">
        <v>0</v>
      </c>
      <c r="KA55" s="103">
        <v>0</v>
      </c>
      <c r="KB55" s="103"/>
      <c r="KC55" s="103"/>
      <c r="KD55" s="103"/>
      <c r="KE55" s="103"/>
      <c r="KF55" s="103"/>
      <c r="KG55" s="103">
        <v>0</v>
      </c>
      <c r="KH55" s="103">
        <v>52</v>
      </c>
      <c r="KI55" s="103">
        <v>0</v>
      </c>
      <c r="KJ55" s="103">
        <v>0</v>
      </c>
      <c r="KK55" s="103">
        <v>0</v>
      </c>
      <c r="KL55" s="103">
        <v>0</v>
      </c>
      <c r="KM55" s="103">
        <v>0</v>
      </c>
      <c r="KN55" s="103">
        <v>0</v>
      </c>
      <c r="KO55" s="103">
        <v>0</v>
      </c>
      <c r="KP55" s="103">
        <v>0</v>
      </c>
      <c r="KQ55" s="103">
        <v>0</v>
      </c>
      <c r="KR55" s="103">
        <v>0</v>
      </c>
      <c r="KS55" s="103">
        <v>0</v>
      </c>
      <c r="KT55" s="103">
        <v>0</v>
      </c>
      <c r="KU55" s="103">
        <v>0</v>
      </c>
      <c r="KV55" s="103">
        <v>0</v>
      </c>
      <c r="KW55" s="103">
        <v>0</v>
      </c>
      <c r="KX55" s="103">
        <v>0</v>
      </c>
      <c r="KY55" s="103">
        <v>0</v>
      </c>
      <c r="KZ55" s="103">
        <v>0</v>
      </c>
      <c r="LA55" s="103">
        <v>0</v>
      </c>
      <c r="LB55" s="103">
        <v>0</v>
      </c>
      <c r="LC55" s="103"/>
      <c r="LD55" s="103"/>
      <c r="LE55" s="103"/>
      <c r="LF55" s="103"/>
      <c r="LG55" s="103">
        <v>0</v>
      </c>
      <c r="LH55" s="103">
        <v>0</v>
      </c>
      <c r="LI55" s="103"/>
      <c r="LJ55" s="103"/>
      <c r="LK55" s="103"/>
      <c r="LL55" s="103"/>
      <c r="LM55" s="103"/>
      <c r="LN55" s="103"/>
      <c r="LO55" s="103"/>
      <c r="LP55" s="103"/>
      <c r="LQ55" s="103"/>
      <c r="LR55" s="103"/>
      <c r="LS55" s="103"/>
      <c r="LT55" s="103">
        <v>0</v>
      </c>
      <c r="LU55" s="103">
        <v>0</v>
      </c>
      <c r="LV55" s="103"/>
      <c r="LW55" s="103">
        <v>0</v>
      </c>
      <c r="LX55" s="103"/>
      <c r="LY55" s="103">
        <v>0</v>
      </c>
      <c r="LZ55" s="103">
        <v>0</v>
      </c>
      <c r="MA55" s="103">
        <v>0</v>
      </c>
      <c r="MB55" s="103">
        <v>0</v>
      </c>
      <c r="MC55" s="103">
        <v>0</v>
      </c>
      <c r="MD55" s="103">
        <v>0</v>
      </c>
      <c r="ME55" s="103">
        <v>0</v>
      </c>
      <c r="MF55" s="103">
        <v>0</v>
      </c>
      <c r="MG55" s="103">
        <v>0</v>
      </c>
      <c r="MH55" s="103">
        <v>0</v>
      </c>
      <c r="MI55" s="103">
        <v>0</v>
      </c>
      <c r="MJ55" s="103">
        <v>0</v>
      </c>
      <c r="MK55" s="103">
        <v>0</v>
      </c>
      <c r="ML55" s="103">
        <v>0</v>
      </c>
      <c r="MM55" s="103">
        <v>0</v>
      </c>
      <c r="MN55" s="103">
        <v>0</v>
      </c>
      <c r="MO55" s="103">
        <v>0</v>
      </c>
      <c r="MP55" s="103">
        <v>0</v>
      </c>
      <c r="MQ55" s="103">
        <v>0</v>
      </c>
      <c r="MR55" s="103">
        <v>0</v>
      </c>
      <c r="MS55" s="103">
        <v>0</v>
      </c>
      <c r="MT55" s="103">
        <v>0</v>
      </c>
      <c r="MU55" s="103">
        <v>0</v>
      </c>
      <c r="MV55" s="103">
        <v>0</v>
      </c>
      <c r="MW55" s="103">
        <v>0</v>
      </c>
      <c r="MX55" s="103">
        <v>0</v>
      </c>
      <c r="MY55" s="103">
        <v>0</v>
      </c>
      <c r="MZ55" s="103">
        <v>0</v>
      </c>
      <c r="NA55" s="103">
        <v>0</v>
      </c>
      <c r="NB55" s="103">
        <v>0</v>
      </c>
      <c r="NC55" s="103"/>
      <c r="ND55" s="103">
        <v>0</v>
      </c>
      <c r="NE55" s="103"/>
      <c r="NF55" s="103"/>
      <c r="NG55" s="103">
        <v>0</v>
      </c>
      <c r="NH55" s="103">
        <v>0</v>
      </c>
      <c r="NI55" s="103">
        <v>0</v>
      </c>
      <c r="NJ55" s="103">
        <v>0</v>
      </c>
      <c r="NK55" s="103">
        <v>0</v>
      </c>
      <c r="NL55" s="103">
        <v>0</v>
      </c>
      <c r="NM55" s="103">
        <v>0</v>
      </c>
      <c r="NN55" s="103">
        <v>0</v>
      </c>
      <c r="NO55" s="103">
        <v>0</v>
      </c>
      <c r="NP55" s="103">
        <v>0</v>
      </c>
      <c r="NQ55" s="103">
        <v>0</v>
      </c>
      <c r="NR55" s="103"/>
      <c r="NS55" s="103"/>
      <c r="NT55" s="103"/>
      <c r="NU55" s="103"/>
      <c r="NV55" s="103">
        <v>0</v>
      </c>
      <c r="NW55" s="103">
        <v>0</v>
      </c>
      <c r="NX55" s="103">
        <v>0</v>
      </c>
      <c r="NY55" s="103">
        <v>0</v>
      </c>
      <c r="NZ55" s="103">
        <v>0</v>
      </c>
      <c r="OA55" s="103">
        <v>0</v>
      </c>
      <c r="OB55" s="103"/>
      <c r="OC55" s="103"/>
      <c r="OD55" s="103">
        <v>0</v>
      </c>
      <c r="OE55" s="103">
        <v>0</v>
      </c>
      <c r="OF55" s="103">
        <v>0</v>
      </c>
      <c r="OG55" s="103">
        <v>0</v>
      </c>
      <c r="OH55" s="103">
        <v>0</v>
      </c>
      <c r="OI55" s="103">
        <v>0</v>
      </c>
      <c r="OJ55" s="103">
        <v>0</v>
      </c>
      <c r="OK55" s="103">
        <v>0</v>
      </c>
      <c r="OL55" s="103">
        <v>0</v>
      </c>
      <c r="OM55" s="103">
        <v>0</v>
      </c>
      <c r="ON55" s="103">
        <v>0</v>
      </c>
      <c r="OO55" s="103">
        <v>0</v>
      </c>
      <c r="OP55" s="103">
        <v>0</v>
      </c>
      <c r="OQ55" s="103">
        <v>0</v>
      </c>
      <c r="OR55" s="103">
        <v>0</v>
      </c>
      <c r="OS55" s="103">
        <v>0</v>
      </c>
      <c r="OT55" s="103">
        <v>0</v>
      </c>
      <c r="OU55" s="103">
        <v>0</v>
      </c>
      <c r="OV55" s="103">
        <v>0</v>
      </c>
      <c r="OW55" s="103">
        <v>0</v>
      </c>
      <c r="OX55" s="103">
        <v>0</v>
      </c>
      <c r="OY55" s="103">
        <v>0</v>
      </c>
      <c r="OZ55" s="103">
        <v>0</v>
      </c>
      <c r="PA55" s="103">
        <v>0</v>
      </c>
      <c r="PB55" s="103">
        <v>0</v>
      </c>
      <c r="PC55" s="103">
        <v>0</v>
      </c>
      <c r="PD55" s="103">
        <v>120</v>
      </c>
      <c r="PE55" s="103">
        <v>0</v>
      </c>
      <c r="PF55" s="103">
        <v>0</v>
      </c>
      <c r="PG55" s="103">
        <v>0</v>
      </c>
      <c r="PH55" s="103">
        <v>0</v>
      </c>
      <c r="PI55" s="103">
        <v>0</v>
      </c>
      <c r="PJ55" s="103">
        <v>0</v>
      </c>
      <c r="PK55" s="103">
        <v>0</v>
      </c>
      <c r="PL55" s="103">
        <v>0</v>
      </c>
      <c r="PM55" s="103">
        <v>0</v>
      </c>
      <c r="PN55" s="103">
        <v>0</v>
      </c>
      <c r="PO55" s="103">
        <v>0</v>
      </c>
      <c r="PP55" s="103">
        <v>0</v>
      </c>
      <c r="PQ55" s="103">
        <v>0</v>
      </c>
      <c r="PR55" s="103">
        <v>0</v>
      </c>
      <c r="PS55" s="103">
        <v>0</v>
      </c>
      <c r="PT55" s="103">
        <v>0</v>
      </c>
      <c r="PU55" s="103">
        <v>0</v>
      </c>
      <c r="PV55" s="103">
        <v>0</v>
      </c>
      <c r="PW55" s="103">
        <v>0</v>
      </c>
      <c r="PX55" s="103">
        <v>691.5</v>
      </c>
      <c r="PY55" s="103">
        <v>0</v>
      </c>
      <c r="PZ55" s="103">
        <v>0</v>
      </c>
      <c r="QA55" s="103">
        <v>0</v>
      </c>
      <c r="QB55" s="103">
        <v>0</v>
      </c>
      <c r="QC55" s="103">
        <v>0</v>
      </c>
      <c r="QD55" s="103">
        <v>0</v>
      </c>
      <c r="QE55" s="103">
        <v>0</v>
      </c>
      <c r="QF55" s="103">
        <v>0</v>
      </c>
      <c r="QG55" s="103">
        <v>0</v>
      </c>
      <c r="QH55" s="103">
        <v>0</v>
      </c>
      <c r="QI55" s="103">
        <v>0</v>
      </c>
      <c r="QJ55" s="103">
        <v>0</v>
      </c>
      <c r="QK55" s="103">
        <v>0</v>
      </c>
      <c r="QL55" s="103">
        <v>0</v>
      </c>
      <c r="QM55" s="103">
        <v>0</v>
      </c>
      <c r="QN55" s="103"/>
      <c r="QO55" s="103"/>
      <c r="QP55" s="103">
        <v>0</v>
      </c>
      <c r="QQ55" s="103"/>
      <c r="QR55" s="103"/>
      <c r="QS55" s="103">
        <v>0</v>
      </c>
      <c r="QT55" s="103">
        <v>0</v>
      </c>
      <c r="QU55" s="103">
        <v>0</v>
      </c>
      <c r="QV55" s="103">
        <v>0</v>
      </c>
      <c r="QW55" s="103">
        <v>0</v>
      </c>
      <c r="QX55" s="103">
        <v>0</v>
      </c>
      <c r="QY55" s="103">
        <v>0</v>
      </c>
      <c r="QZ55" s="103">
        <v>0</v>
      </c>
      <c r="RA55" s="103">
        <v>0</v>
      </c>
      <c r="RB55" s="103">
        <v>0</v>
      </c>
      <c r="RC55" s="103">
        <v>0</v>
      </c>
      <c r="RD55" s="103">
        <v>0</v>
      </c>
      <c r="RE55" s="103">
        <v>0</v>
      </c>
      <c r="RF55" s="103">
        <v>0</v>
      </c>
      <c r="RG55" s="103"/>
      <c r="RH55" s="103">
        <v>0</v>
      </c>
      <c r="RI55" s="103">
        <v>0</v>
      </c>
      <c r="RJ55" s="103">
        <v>0</v>
      </c>
      <c r="RK55" s="103">
        <v>100</v>
      </c>
      <c r="RL55" s="103">
        <v>0</v>
      </c>
      <c r="RM55" s="103">
        <v>0</v>
      </c>
      <c r="RN55" s="103">
        <v>0</v>
      </c>
    </row>
    <row r="56" spans="1:482" s="60" customFormat="1" ht="11.25" customHeight="1" x14ac:dyDescent="0.2">
      <c r="A56" s="125" t="s">
        <v>795</v>
      </c>
      <c r="B56" s="175" t="s">
        <v>879</v>
      </c>
      <c r="C56" s="175"/>
      <c r="D56" s="115">
        <f t="shared" si="252"/>
        <v>1410818.7000000004</v>
      </c>
      <c r="E56" s="114"/>
      <c r="F56" s="114"/>
      <c r="G56" s="114"/>
      <c r="H56" s="114"/>
      <c r="I56" s="114"/>
      <c r="J56" s="114"/>
      <c r="K56" s="114"/>
      <c r="L56" s="114"/>
      <c r="M56" s="114"/>
      <c r="N56" s="114"/>
      <c r="O56" s="114"/>
      <c r="P56" s="114"/>
      <c r="Q56" s="114"/>
      <c r="R56" s="114"/>
      <c r="S56" s="114"/>
      <c r="T56" s="114"/>
      <c r="U56" s="114"/>
      <c r="V56" s="114"/>
      <c r="W56" s="114"/>
      <c r="X56" s="114">
        <f>1302.4+29680.5</f>
        <v>30982.9</v>
      </c>
      <c r="Y56" s="114"/>
      <c r="Z56" s="114"/>
      <c r="AA56" s="114"/>
      <c r="AB56" s="114"/>
      <c r="AC56" s="114"/>
      <c r="AD56" s="114"/>
      <c r="AE56" s="114"/>
      <c r="AF56" s="114"/>
      <c r="AG56" s="114">
        <v>44074.6</v>
      </c>
      <c r="AH56" s="114"/>
      <c r="AI56" s="114"/>
      <c r="AJ56" s="114">
        <v>463498.3</v>
      </c>
      <c r="AK56" s="114"/>
      <c r="AL56" s="114"/>
      <c r="AM56" s="114"/>
      <c r="AN56" s="114"/>
      <c r="AO56" s="114"/>
      <c r="AP56" s="114"/>
      <c r="AQ56" s="114">
        <v>35952</v>
      </c>
      <c r="AR56" s="114"/>
      <c r="AS56" s="114"/>
      <c r="AT56" s="114">
        <v>226437.6</v>
      </c>
      <c r="AU56" s="114"/>
      <c r="AV56" s="114"/>
      <c r="AW56" s="114"/>
      <c r="AX56" s="114"/>
      <c r="AY56" s="114"/>
      <c r="AZ56" s="114"/>
      <c r="BA56" s="114"/>
      <c r="BB56" s="114"/>
      <c r="BC56" s="114">
        <v>5000</v>
      </c>
      <c r="BD56" s="114"/>
      <c r="BE56" s="114"/>
      <c r="BF56" s="114"/>
      <c r="BG56" s="114"/>
      <c r="BH56" s="114"/>
      <c r="BI56" s="114"/>
      <c r="BJ56" s="114"/>
      <c r="BK56" s="114" t="s">
        <v>948</v>
      </c>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v>813.3</v>
      </c>
      <c r="DX56" s="116"/>
      <c r="DY56" s="103"/>
      <c r="DZ56" s="103"/>
      <c r="EA56" s="103"/>
      <c r="EB56" s="103"/>
      <c r="EC56" s="103"/>
      <c r="ED56" s="103"/>
      <c r="EE56" s="103"/>
      <c r="EF56" s="103"/>
      <c r="EG56" s="103"/>
      <c r="EH56" s="103"/>
      <c r="EI56" s="103">
        <v>550882</v>
      </c>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c r="ID56" s="103"/>
      <c r="IE56" s="103"/>
      <c r="IF56" s="103"/>
      <c r="IG56" s="103"/>
      <c r="IH56" s="103"/>
      <c r="II56" s="103"/>
      <c r="IJ56" s="103"/>
      <c r="IK56" s="103"/>
      <c r="IL56" s="103"/>
      <c r="IM56" s="103"/>
      <c r="IN56" s="103"/>
      <c r="IO56" s="103"/>
      <c r="IP56" s="103"/>
      <c r="IQ56" s="103"/>
      <c r="IR56" s="103">
        <v>40000</v>
      </c>
      <c r="IS56" s="103"/>
      <c r="IT56" s="103"/>
      <c r="IU56" s="103"/>
      <c r="IV56" s="103"/>
      <c r="IW56" s="103"/>
      <c r="IX56" s="103"/>
      <c r="IY56" s="103"/>
      <c r="IZ56" s="103"/>
      <c r="JA56" s="103"/>
      <c r="JB56" s="103"/>
      <c r="JC56" s="103"/>
      <c r="JD56" s="103"/>
      <c r="JE56" s="103"/>
      <c r="JF56" s="103"/>
      <c r="JG56" s="103"/>
      <c r="JH56" s="103"/>
      <c r="JI56" s="103"/>
      <c r="JJ56" s="103"/>
      <c r="JK56" s="103"/>
      <c r="JL56" s="103"/>
      <c r="JM56" s="103"/>
      <c r="JN56" s="103"/>
      <c r="JO56" s="103"/>
      <c r="JP56" s="103"/>
      <c r="JQ56" s="103"/>
      <c r="JR56" s="103"/>
      <c r="JS56" s="103"/>
      <c r="JT56" s="103"/>
      <c r="JU56" s="103"/>
      <c r="JV56" s="103"/>
      <c r="JW56" s="103"/>
      <c r="JX56" s="103"/>
      <c r="JY56" s="103"/>
      <c r="JZ56" s="103"/>
      <c r="KA56" s="103"/>
      <c r="KB56" s="103"/>
      <c r="KC56" s="103"/>
      <c r="KD56" s="103"/>
      <c r="KE56" s="103"/>
      <c r="KF56" s="103"/>
      <c r="KG56" s="103"/>
      <c r="KH56" s="103"/>
      <c r="KI56" s="103"/>
      <c r="KJ56" s="103"/>
      <c r="KK56" s="103"/>
      <c r="KL56" s="103"/>
      <c r="KM56" s="103"/>
      <c r="KN56" s="103"/>
      <c r="KO56" s="103"/>
      <c r="KP56" s="103"/>
      <c r="KQ56" s="103"/>
      <c r="KR56" s="103"/>
      <c r="KS56" s="103"/>
      <c r="KT56" s="103"/>
      <c r="KU56" s="103"/>
      <c r="KV56" s="103"/>
      <c r="KW56" s="103"/>
      <c r="KX56" s="103">
        <v>2100</v>
      </c>
      <c r="KY56" s="103"/>
      <c r="KZ56" s="103"/>
      <c r="LA56" s="103"/>
      <c r="LB56" s="103"/>
      <c r="LC56" s="103"/>
      <c r="LD56" s="103"/>
      <c r="LE56" s="103"/>
      <c r="LF56" s="103"/>
      <c r="LG56" s="103"/>
      <c r="LH56" s="103"/>
      <c r="LI56" s="103"/>
      <c r="LJ56" s="103"/>
      <c r="LK56" s="103"/>
      <c r="LL56" s="103"/>
      <c r="LM56" s="103"/>
      <c r="LN56" s="103"/>
      <c r="LO56" s="103"/>
      <c r="LP56" s="103"/>
      <c r="LQ56" s="103"/>
      <c r="LR56" s="103"/>
      <c r="LS56" s="103"/>
      <c r="LT56" s="103"/>
      <c r="LU56" s="103"/>
      <c r="LV56" s="103"/>
      <c r="LW56" s="103"/>
      <c r="LX56" s="103"/>
      <c r="LY56" s="103"/>
      <c r="LZ56" s="103"/>
      <c r="MA56" s="103"/>
      <c r="MB56" s="103"/>
      <c r="MC56" s="103"/>
      <c r="MD56" s="103"/>
      <c r="ME56" s="103"/>
      <c r="MF56" s="103"/>
      <c r="MG56" s="103"/>
      <c r="MH56" s="103"/>
      <c r="MI56" s="103">
        <v>2100</v>
      </c>
      <c r="MJ56" s="103"/>
      <c r="MK56" s="103"/>
      <c r="ML56" s="103"/>
      <c r="MM56" s="103"/>
      <c r="MN56" s="103"/>
      <c r="MO56" s="103"/>
      <c r="MP56" s="103"/>
      <c r="MQ56" s="103"/>
      <c r="MR56" s="103"/>
      <c r="MS56" s="103"/>
      <c r="MT56" s="103"/>
      <c r="MU56" s="103"/>
      <c r="MV56" s="103"/>
      <c r="MW56" s="103"/>
      <c r="MX56" s="103"/>
      <c r="MY56" s="103"/>
      <c r="MZ56" s="103"/>
      <c r="NA56" s="103"/>
      <c r="NB56" s="103"/>
      <c r="NC56" s="103"/>
      <c r="ND56" s="103"/>
      <c r="NE56" s="103"/>
      <c r="NF56" s="103"/>
      <c r="NG56" s="103"/>
      <c r="NH56" s="103"/>
      <c r="NI56" s="103"/>
      <c r="NJ56" s="103"/>
      <c r="NK56" s="103"/>
      <c r="NL56" s="103"/>
      <c r="NM56" s="103"/>
      <c r="NN56" s="103"/>
      <c r="NO56" s="103"/>
      <c r="NP56" s="103"/>
      <c r="NQ56" s="103"/>
      <c r="NR56" s="103"/>
      <c r="NS56" s="103"/>
      <c r="NT56" s="103"/>
      <c r="NU56" s="103"/>
      <c r="NV56" s="103"/>
      <c r="NW56" s="103"/>
      <c r="NX56" s="103"/>
      <c r="NY56" s="103"/>
      <c r="NZ56" s="103"/>
      <c r="OA56" s="103"/>
      <c r="OB56" s="103"/>
      <c r="OC56" s="103"/>
      <c r="OD56" s="103"/>
      <c r="OE56" s="103"/>
      <c r="OF56" s="103"/>
      <c r="OG56" s="103"/>
      <c r="OH56" s="103"/>
      <c r="OI56" s="103"/>
      <c r="OJ56" s="103"/>
      <c r="OK56" s="103"/>
      <c r="OL56" s="103"/>
      <c r="OM56" s="103"/>
      <c r="ON56" s="103"/>
      <c r="OO56" s="103"/>
      <c r="OP56" s="103">
        <v>3570.8</v>
      </c>
      <c r="OQ56" s="103"/>
      <c r="OR56" s="103"/>
      <c r="OS56" s="103"/>
      <c r="OT56" s="103"/>
      <c r="OU56" s="103"/>
      <c r="OV56" s="103"/>
      <c r="OW56" s="103"/>
      <c r="OX56" s="103"/>
      <c r="OY56" s="103"/>
      <c r="OZ56" s="103"/>
      <c r="PA56" s="103"/>
      <c r="PB56" s="103"/>
      <c r="PC56" s="103"/>
      <c r="PD56" s="103"/>
      <c r="PE56" s="103"/>
      <c r="PF56" s="103"/>
      <c r="PG56" s="103"/>
      <c r="PH56" s="103"/>
      <c r="PI56" s="103"/>
      <c r="PJ56" s="103"/>
      <c r="PK56" s="103"/>
      <c r="PL56" s="103"/>
      <c r="PM56" s="103"/>
      <c r="PN56" s="103"/>
      <c r="PO56" s="103"/>
      <c r="PP56" s="103"/>
      <c r="PQ56" s="103"/>
      <c r="PR56" s="103"/>
      <c r="PS56" s="103">
        <v>1951.1</v>
      </c>
      <c r="PT56" s="103"/>
      <c r="PU56" s="103"/>
      <c r="PV56" s="103"/>
      <c r="PW56" s="103"/>
      <c r="PX56" s="103"/>
      <c r="PY56" s="103"/>
      <c r="PZ56" s="103"/>
      <c r="QA56" s="103"/>
      <c r="QB56" s="103"/>
      <c r="QC56" s="103"/>
      <c r="QD56" s="103"/>
      <c r="QE56" s="103"/>
      <c r="QF56" s="103"/>
      <c r="QG56" s="103"/>
      <c r="QH56" s="103"/>
      <c r="QI56" s="103">
        <v>1700</v>
      </c>
      <c r="QJ56" s="103"/>
      <c r="QK56" s="103"/>
      <c r="QL56" s="103"/>
      <c r="QM56" s="103"/>
      <c r="QN56" s="103"/>
      <c r="QO56" s="103"/>
      <c r="QP56" s="103"/>
      <c r="QQ56" s="103"/>
      <c r="QR56" s="103"/>
      <c r="QS56" s="103"/>
      <c r="QT56" s="103"/>
      <c r="QU56" s="103"/>
      <c r="QV56" s="103"/>
      <c r="QW56" s="103"/>
      <c r="QX56" s="103"/>
      <c r="QY56" s="103"/>
      <c r="QZ56" s="103"/>
      <c r="RA56" s="103">
        <v>245</v>
      </c>
      <c r="RB56" s="103"/>
      <c r="RC56" s="103">
        <v>1011.1</v>
      </c>
      <c r="RD56" s="103"/>
      <c r="RE56" s="103"/>
      <c r="RF56" s="103"/>
      <c r="RG56" s="103"/>
      <c r="RH56" s="103"/>
      <c r="RI56" s="103"/>
      <c r="RJ56" s="103">
        <v>500</v>
      </c>
      <c r="RK56" s="103"/>
      <c r="RL56" s="103"/>
      <c r="RM56" s="103"/>
      <c r="RN56" s="103"/>
    </row>
    <row r="57" spans="1:482" s="60" customFormat="1" ht="11.25" customHeight="1" x14ac:dyDescent="0.2">
      <c r="A57" s="125" t="s">
        <v>796</v>
      </c>
      <c r="B57" s="175" t="s">
        <v>864</v>
      </c>
      <c r="C57" s="175"/>
      <c r="D57" s="115">
        <f t="shared" si="252"/>
        <v>0</v>
      </c>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t="s">
        <v>912</v>
      </c>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16"/>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3"/>
      <c r="HN57" s="103"/>
      <c r="HO57" s="103"/>
      <c r="HP57" s="103"/>
      <c r="HQ57" s="103"/>
      <c r="HR57" s="103"/>
      <c r="HS57" s="103"/>
      <c r="HT57" s="103"/>
      <c r="HU57" s="103"/>
      <c r="HV57" s="103"/>
      <c r="HW57" s="103"/>
      <c r="HX57" s="103"/>
      <c r="HY57" s="103"/>
      <c r="HZ57" s="103"/>
      <c r="IA57" s="103"/>
      <c r="IB57" s="103"/>
      <c r="IC57" s="103"/>
      <c r="ID57" s="103"/>
      <c r="IE57" s="103"/>
      <c r="IF57" s="103"/>
      <c r="IG57" s="103"/>
      <c r="IH57" s="103"/>
      <c r="II57" s="103"/>
      <c r="IJ57" s="103"/>
      <c r="IK57" s="103"/>
      <c r="IL57" s="103"/>
      <c r="IM57" s="103"/>
      <c r="IN57" s="103"/>
      <c r="IO57" s="103"/>
      <c r="IP57" s="103"/>
      <c r="IQ57" s="103"/>
      <c r="IR57" s="103"/>
      <c r="IS57" s="103"/>
      <c r="IT57" s="103"/>
      <c r="IU57" s="103"/>
      <c r="IV57" s="103"/>
      <c r="IW57" s="103"/>
      <c r="IX57" s="103"/>
      <c r="IY57" s="103"/>
      <c r="IZ57" s="103"/>
      <c r="JA57" s="103"/>
      <c r="JB57" s="103"/>
      <c r="JC57" s="103"/>
      <c r="JD57" s="103"/>
      <c r="JE57" s="103"/>
      <c r="JF57" s="103"/>
      <c r="JG57" s="103"/>
      <c r="JH57" s="103"/>
      <c r="JI57" s="103"/>
      <c r="JJ57" s="103"/>
      <c r="JK57" s="103"/>
      <c r="JL57" s="103"/>
      <c r="JM57" s="103"/>
      <c r="JN57" s="103"/>
      <c r="JO57" s="103"/>
      <c r="JP57" s="103"/>
      <c r="JQ57" s="103"/>
      <c r="JR57" s="103"/>
      <c r="JS57" s="103"/>
      <c r="JT57" s="103"/>
      <c r="JU57" s="103"/>
      <c r="JV57" s="103"/>
      <c r="JW57" s="103"/>
      <c r="JX57" s="103"/>
      <c r="JY57" s="103"/>
      <c r="JZ57" s="103"/>
      <c r="KA57" s="103"/>
      <c r="KB57" s="103"/>
      <c r="KC57" s="103"/>
      <c r="KD57" s="103"/>
      <c r="KE57" s="103"/>
      <c r="KF57" s="103"/>
      <c r="KG57" s="103"/>
      <c r="KH57" s="103"/>
      <c r="KI57" s="103"/>
      <c r="KJ57" s="103"/>
      <c r="KK57" s="103"/>
      <c r="KL57" s="103"/>
      <c r="KM57" s="103"/>
      <c r="KN57" s="103"/>
      <c r="KO57" s="103"/>
      <c r="KP57" s="103"/>
      <c r="KQ57" s="103"/>
      <c r="KR57" s="103"/>
      <c r="KS57" s="103"/>
      <c r="KT57" s="103"/>
      <c r="KU57" s="103"/>
      <c r="KV57" s="103"/>
      <c r="KW57" s="103"/>
      <c r="KX57" s="103"/>
      <c r="KY57" s="103"/>
      <c r="KZ57" s="103"/>
      <c r="LA57" s="103"/>
      <c r="LB57" s="103"/>
      <c r="LC57" s="103"/>
      <c r="LD57" s="103"/>
      <c r="LE57" s="103"/>
      <c r="LF57" s="103"/>
      <c r="LG57" s="103"/>
      <c r="LH57" s="103"/>
      <c r="LI57" s="103"/>
      <c r="LJ57" s="103"/>
      <c r="LK57" s="103"/>
      <c r="LL57" s="103"/>
      <c r="LM57" s="103"/>
      <c r="LN57" s="103"/>
      <c r="LO57" s="103"/>
      <c r="LP57" s="103"/>
      <c r="LQ57" s="103"/>
      <c r="LR57" s="103"/>
      <c r="LS57" s="103"/>
      <c r="LT57" s="103"/>
      <c r="LU57" s="103"/>
      <c r="LV57" s="103"/>
      <c r="LW57" s="103"/>
      <c r="LX57" s="103"/>
      <c r="LY57" s="103"/>
      <c r="LZ57" s="103"/>
      <c r="MA57" s="103"/>
      <c r="MB57" s="103"/>
      <c r="MC57" s="103"/>
      <c r="MD57" s="103"/>
      <c r="ME57" s="103"/>
      <c r="MF57" s="103"/>
      <c r="MG57" s="103"/>
      <c r="MH57" s="103"/>
      <c r="MI57" s="103"/>
      <c r="MJ57" s="103"/>
      <c r="MK57" s="103"/>
      <c r="ML57" s="103"/>
      <c r="MM57" s="103"/>
      <c r="MN57" s="103"/>
      <c r="MO57" s="103"/>
      <c r="MP57" s="103"/>
      <c r="MQ57" s="103"/>
      <c r="MR57" s="103"/>
      <c r="MS57" s="103"/>
      <c r="MT57" s="103"/>
      <c r="MU57" s="103"/>
      <c r="MV57" s="103"/>
      <c r="MW57" s="103"/>
      <c r="MX57" s="103"/>
      <c r="MY57" s="103"/>
      <c r="MZ57" s="103"/>
      <c r="NA57" s="103"/>
      <c r="NB57" s="103"/>
      <c r="NC57" s="103"/>
      <c r="ND57" s="103"/>
      <c r="NE57" s="103"/>
      <c r="NF57" s="103"/>
      <c r="NG57" s="103"/>
      <c r="NH57" s="103"/>
      <c r="NI57" s="103"/>
      <c r="NJ57" s="103"/>
      <c r="NK57" s="103"/>
      <c r="NL57" s="103"/>
      <c r="NM57" s="103"/>
      <c r="NN57" s="103"/>
      <c r="NO57" s="103"/>
      <c r="NP57" s="103"/>
      <c r="NQ57" s="103"/>
      <c r="NR57" s="103"/>
      <c r="NS57" s="103"/>
      <c r="NT57" s="103"/>
      <c r="NU57" s="103"/>
      <c r="NV57" s="103"/>
      <c r="NW57" s="103"/>
      <c r="NX57" s="103"/>
      <c r="NY57" s="103"/>
      <c r="NZ57" s="103"/>
      <c r="OA57" s="103"/>
      <c r="OB57" s="103"/>
      <c r="OC57" s="103"/>
      <c r="OD57" s="103"/>
      <c r="OE57" s="103"/>
      <c r="OF57" s="103"/>
      <c r="OG57" s="103"/>
      <c r="OH57" s="103"/>
      <c r="OI57" s="103"/>
      <c r="OJ57" s="103"/>
      <c r="OK57" s="103"/>
      <c r="OL57" s="103"/>
      <c r="OM57" s="103"/>
      <c r="ON57" s="103"/>
      <c r="OO57" s="103"/>
      <c r="OP57" s="103"/>
      <c r="OQ57" s="103"/>
      <c r="OR57" s="103"/>
      <c r="OS57" s="103"/>
      <c r="OT57" s="103"/>
      <c r="OU57" s="103"/>
      <c r="OV57" s="103"/>
      <c r="OW57" s="103"/>
      <c r="OX57" s="103"/>
      <c r="OY57" s="103"/>
      <c r="OZ57" s="103"/>
      <c r="PA57" s="103"/>
      <c r="PB57" s="103"/>
      <c r="PC57" s="103"/>
      <c r="PD57" s="103"/>
      <c r="PE57" s="103"/>
      <c r="PF57" s="103"/>
      <c r="PG57" s="103"/>
      <c r="PH57" s="103"/>
      <c r="PI57" s="103"/>
      <c r="PJ57" s="103"/>
      <c r="PK57" s="103"/>
      <c r="PL57" s="103"/>
      <c r="PM57" s="103"/>
      <c r="PN57" s="103"/>
      <c r="PO57" s="103"/>
      <c r="PP57" s="103"/>
      <c r="PQ57" s="103"/>
      <c r="PR57" s="103"/>
      <c r="PS57" s="103"/>
      <c r="PT57" s="103"/>
      <c r="PU57" s="103"/>
      <c r="PV57" s="103"/>
      <c r="PW57" s="103"/>
      <c r="PX57" s="103"/>
      <c r="PY57" s="103"/>
      <c r="PZ57" s="103"/>
      <c r="QA57" s="103"/>
      <c r="QB57" s="103"/>
      <c r="QC57" s="103"/>
      <c r="QD57" s="103"/>
      <c r="QE57" s="103"/>
      <c r="QF57" s="103"/>
      <c r="QG57" s="103"/>
      <c r="QH57" s="103"/>
      <c r="QI57" s="103"/>
      <c r="QJ57" s="103"/>
      <c r="QK57" s="103"/>
      <c r="QL57" s="103"/>
      <c r="QM57" s="103"/>
      <c r="QN57" s="103"/>
      <c r="QO57" s="103"/>
      <c r="QP57" s="103"/>
      <c r="QQ57" s="103"/>
      <c r="QR57" s="103"/>
      <c r="QS57" s="103"/>
      <c r="QT57" s="103"/>
      <c r="QU57" s="103"/>
      <c r="QV57" s="103"/>
      <c r="QW57" s="103"/>
      <c r="QX57" s="103"/>
      <c r="QY57" s="103"/>
      <c r="QZ57" s="103"/>
      <c r="RA57" s="103"/>
      <c r="RB57" s="103"/>
      <c r="RC57" s="103"/>
      <c r="RD57" s="103"/>
      <c r="RE57" s="103"/>
      <c r="RF57" s="103"/>
      <c r="RG57" s="103"/>
      <c r="RH57" s="103"/>
      <c r="RI57" s="103"/>
      <c r="RJ57" s="103"/>
      <c r="RK57" s="103"/>
      <c r="RL57" s="103"/>
      <c r="RM57" s="103"/>
      <c r="RN57" s="103"/>
    </row>
    <row r="58" spans="1:482" s="60" customFormat="1" ht="11.25" customHeight="1" x14ac:dyDescent="0.2">
      <c r="A58" s="125" t="s">
        <v>797</v>
      </c>
      <c r="B58" s="175" t="s">
        <v>798</v>
      </c>
      <c r="C58" s="175"/>
      <c r="D58" s="115">
        <f t="shared" si="252"/>
        <v>0</v>
      </c>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t="s">
        <v>912</v>
      </c>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16"/>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c r="IW58" s="103"/>
      <c r="IX58" s="103"/>
      <c r="IY58" s="103"/>
      <c r="IZ58" s="103"/>
      <c r="JA58" s="103"/>
      <c r="JB58" s="103"/>
      <c r="JC58" s="103"/>
      <c r="JD58" s="103"/>
      <c r="JE58" s="103"/>
      <c r="JF58" s="103"/>
      <c r="JG58" s="103"/>
      <c r="JH58" s="103"/>
      <c r="JI58" s="103"/>
      <c r="JJ58" s="103"/>
      <c r="JK58" s="103"/>
      <c r="JL58" s="103"/>
      <c r="JM58" s="103"/>
      <c r="JN58" s="103"/>
      <c r="JO58" s="103"/>
      <c r="JP58" s="103"/>
      <c r="JQ58" s="103"/>
      <c r="JR58" s="103"/>
      <c r="JS58" s="103"/>
      <c r="JT58" s="103"/>
      <c r="JU58" s="103"/>
      <c r="JV58" s="103"/>
      <c r="JW58" s="103"/>
      <c r="JX58" s="103"/>
      <c r="JY58" s="103"/>
      <c r="JZ58" s="103"/>
      <c r="KA58" s="103"/>
      <c r="KB58" s="103"/>
      <c r="KC58" s="103"/>
      <c r="KD58" s="103"/>
      <c r="KE58" s="103"/>
      <c r="KF58" s="103"/>
      <c r="KG58" s="103"/>
      <c r="KH58" s="103"/>
      <c r="KI58" s="103"/>
      <c r="KJ58" s="103"/>
      <c r="KK58" s="103"/>
      <c r="KL58" s="103"/>
      <c r="KM58" s="103"/>
      <c r="KN58" s="103"/>
      <c r="KO58" s="103"/>
      <c r="KP58" s="103"/>
      <c r="KQ58" s="103"/>
      <c r="KR58" s="103"/>
      <c r="KS58" s="103"/>
      <c r="KT58" s="103"/>
      <c r="KU58" s="103"/>
      <c r="KV58" s="103"/>
      <c r="KW58" s="103"/>
      <c r="KX58" s="103"/>
      <c r="KY58" s="103"/>
      <c r="KZ58" s="103"/>
      <c r="LA58" s="103"/>
      <c r="LB58" s="103"/>
      <c r="LC58" s="103"/>
      <c r="LD58" s="103"/>
      <c r="LE58" s="103"/>
      <c r="LF58" s="103"/>
      <c r="LG58" s="103"/>
      <c r="LH58" s="103"/>
      <c r="LI58" s="103"/>
      <c r="LJ58" s="103"/>
      <c r="LK58" s="103"/>
      <c r="LL58" s="103"/>
      <c r="LM58" s="103"/>
      <c r="LN58" s="103"/>
      <c r="LO58" s="103"/>
      <c r="LP58" s="103"/>
      <c r="LQ58" s="103"/>
      <c r="LR58" s="103"/>
      <c r="LS58" s="103"/>
      <c r="LT58" s="103"/>
      <c r="LU58" s="103"/>
      <c r="LV58" s="103"/>
      <c r="LW58" s="103"/>
      <c r="LX58" s="103"/>
      <c r="LY58" s="103"/>
      <c r="LZ58" s="103"/>
      <c r="MA58" s="103"/>
      <c r="MB58" s="103"/>
      <c r="MC58" s="103"/>
      <c r="MD58" s="103"/>
      <c r="ME58" s="103"/>
      <c r="MF58" s="103"/>
      <c r="MG58" s="103"/>
      <c r="MH58" s="103"/>
      <c r="MI58" s="103"/>
      <c r="MJ58" s="103"/>
      <c r="MK58" s="103"/>
      <c r="ML58" s="103"/>
      <c r="MM58" s="103"/>
      <c r="MN58" s="103"/>
      <c r="MO58" s="103"/>
      <c r="MP58" s="103"/>
      <c r="MQ58" s="103"/>
      <c r="MR58" s="103"/>
      <c r="MS58" s="103"/>
      <c r="MT58" s="103"/>
      <c r="MU58" s="103"/>
      <c r="MV58" s="103"/>
      <c r="MW58" s="103"/>
      <c r="MX58" s="103"/>
      <c r="MY58" s="103"/>
      <c r="MZ58" s="103"/>
      <c r="NA58" s="103"/>
      <c r="NB58" s="103"/>
      <c r="NC58" s="103"/>
      <c r="ND58" s="103"/>
      <c r="NE58" s="103"/>
      <c r="NF58" s="103"/>
      <c r="NG58" s="103"/>
      <c r="NH58" s="103"/>
      <c r="NI58" s="103"/>
      <c r="NJ58" s="103"/>
      <c r="NK58" s="103"/>
      <c r="NL58" s="103"/>
      <c r="NM58" s="103"/>
      <c r="NN58" s="103"/>
      <c r="NO58" s="103"/>
      <c r="NP58" s="103"/>
      <c r="NQ58" s="103"/>
      <c r="NR58" s="103"/>
      <c r="NS58" s="103"/>
      <c r="NT58" s="103"/>
      <c r="NU58" s="103"/>
      <c r="NV58" s="103"/>
      <c r="NW58" s="103"/>
      <c r="NX58" s="103"/>
      <c r="NY58" s="103"/>
      <c r="NZ58" s="103"/>
      <c r="OA58" s="103"/>
      <c r="OB58" s="103"/>
      <c r="OC58" s="103"/>
      <c r="OD58" s="103"/>
      <c r="OE58" s="103"/>
      <c r="OF58" s="103"/>
      <c r="OG58" s="103"/>
      <c r="OH58" s="103"/>
      <c r="OI58" s="103"/>
      <c r="OJ58" s="103"/>
      <c r="OK58" s="103"/>
      <c r="OL58" s="103"/>
      <c r="OM58" s="103"/>
      <c r="ON58" s="103"/>
      <c r="OO58" s="103"/>
      <c r="OP58" s="103"/>
      <c r="OQ58" s="103"/>
      <c r="OR58" s="103"/>
      <c r="OS58" s="103"/>
      <c r="OT58" s="103"/>
      <c r="OU58" s="103"/>
      <c r="OV58" s="103"/>
      <c r="OW58" s="103"/>
      <c r="OX58" s="103"/>
      <c r="OY58" s="103"/>
      <c r="OZ58" s="103"/>
      <c r="PA58" s="103"/>
      <c r="PB58" s="103"/>
      <c r="PC58" s="103"/>
      <c r="PD58" s="103"/>
      <c r="PE58" s="103"/>
      <c r="PF58" s="103"/>
      <c r="PG58" s="103"/>
      <c r="PH58" s="103"/>
      <c r="PI58" s="103"/>
      <c r="PJ58" s="103"/>
      <c r="PK58" s="103"/>
      <c r="PL58" s="103"/>
      <c r="PM58" s="103"/>
      <c r="PN58" s="103"/>
      <c r="PO58" s="103"/>
      <c r="PP58" s="103"/>
      <c r="PQ58" s="103"/>
      <c r="PR58" s="103"/>
      <c r="PS58" s="103"/>
      <c r="PT58" s="103"/>
      <c r="PU58" s="103"/>
      <c r="PV58" s="103"/>
      <c r="PW58" s="103"/>
      <c r="PX58" s="103"/>
      <c r="PY58" s="103"/>
      <c r="PZ58" s="103"/>
      <c r="QA58" s="103"/>
      <c r="QB58" s="103"/>
      <c r="QC58" s="103"/>
      <c r="QD58" s="103"/>
      <c r="QE58" s="103"/>
      <c r="QF58" s="103"/>
      <c r="QG58" s="103"/>
      <c r="QH58" s="103"/>
      <c r="QI58" s="103"/>
      <c r="QJ58" s="103"/>
      <c r="QK58" s="103"/>
      <c r="QL58" s="103"/>
      <c r="QM58" s="103"/>
      <c r="QN58" s="103"/>
      <c r="QO58" s="103"/>
      <c r="QP58" s="103"/>
      <c r="QQ58" s="103"/>
      <c r="QR58" s="103"/>
      <c r="QS58" s="103"/>
      <c r="QT58" s="103"/>
      <c r="QU58" s="103"/>
      <c r="QV58" s="103"/>
      <c r="QW58" s="103"/>
      <c r="QX58" s="103"/>
      <c r="QY58" s="103"/>
      <c r="QZ58" s="103"/>
      <c r="RA58" s="103"/>
      <c r="RB58" s="103"/>
      <c r="RC58" s="103"/>
      <c r="RD58" s="103"/>
      <c r="RE58" s="103"/>
      <c r="RF58" s="103"/>
      <c r="RG58" s="103"/>
      <c r="RH58" s="103"/>
      <c r="RI58" s="103"/>
      <c r="RJ58" s="103"/>
      <c r="RK58" s="103"/>
      <c r="RL58" s="103"/>
      <c r="RM58" s="103"/>
      <c r="RN58" s="103"/>
    </row>
    <row r="59" spans="1:482" s="60" customFormat="1" ht="11.25" customHeight="1" x14ac:dyDescent="0.2">
      <c r="A59" s="125" t="s">
        <v>799</v>
      </c>
      <c r="B59" s="175" t="s">
        <v>800</v>
      </c>
      <c r="C59" s="175"/>
      <c r="D59" s="115">
        <f t="shared" si="252"/>
        <v>1686.3</v>
      </c>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t="s">
        <v>949</v>
      </c>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16"/>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v>1686.3</v>
      </c>
      <c r="IK59" s="103"/>
      <c r="IL59" s="103"/>
      <c r="IM59" s="103"/>
      <c r="IN59" s="103"/>
      <c r="IO59" s="103"/>
      <c r="IP59" s="103"/>
      <c r="IQ59" s="103"/>
      <c r="IR59" s="103"/>
      <c r="IS59" s="103"/>
      <c r="IT59" s="103"/>
      <c r="IU59" s="103"/>
      <c r="IV59" s="103"/>
      <c r="IW59" s="103"/>
      <c r="IX59" s="103"/>
      <c r="IY59" s="103"/>
      <c r="IZ59" s="103"/>
      <c r="JA59" s="103"/>
      <c r="JB59" s="103"/>
      <c r="JC59" s="103"/>
      <c r="JD59" s="103"/>
      <c r="JE59" s="103"/>
      <c r="JF59" s="103"/>
      <c r="JG59" s="103"/>
      <c r="JH59" s="103"/>
      <c r="JI59" s="103"/>
      <c r="JJ59" s="103"/>
      <c r="JK59" s="103"/>
      <c r="JL59" s="103"/>
      <c r="JM59" s="103"/>
      <c r="JN59" s="103"/>
      <c r="JO59" s="103"/>
      <c r="JP59" s="103"/>
      <c r="JQ59" s="103"/>
      <c r="JR59" s="103"/>
      <c r="JS59" s="103"/>
      <c r="JT59" s="103"/>
      <c r="JU59" s="103"/>
      <c r="JV59" s="103"/>
      <c r="JW59" s="103"/>
      <c r="JX59" s="103"/>
      <c r="JY59" s="103"/>
      <c r="JZ59" s="103"/>
      <c r="KA59" s="103"/>
      <c r="KB59" s="103"/>
      <c r="KC59" s="103"/>
      <c r="KD59" s="103"/>
      <c r="KE59" s="103"/>
      <c r="KF59" s="103"/>
      <c r="KG59" s="103"/>
      <c r="KH59" s="103"/>
      <c r="KI59" s="103"/>
      <c r="KJ59" s="103"/>
      <c r="KK59" s="103"/>
      <c r="KL59" s="103"/>
      <c r="KM59" s="103"/>
      <c r="KN59" s="103"/>
      <c r="KO59" s="103"/>
      <c r="KP59" s="103"/>
      <c r="KQ59" s="103"/>
      <c r="KR59" s="103"/>
      <c r="KS59" s="103"/>
      <c r="KT59" s="103"/>
      <c r="KU59" s="103"/>
      <c r="KV59" s="103"/>
      <c r="KW59" s="103"/>
      <c r="KX59" s="103"/>
      <c r="KY59" s="103"/>
      <c r="KZ59" s="103"/>
      <c r="LA59" s="103"/>
      <c r="LB59" s="103"/>
      <c r="LC59" s="103"/>
      <c r="LD59" s="103"/>
      <c r="LE59" s="103"/>
      <c r="LF59" s="103"/>
      <c r="LG59" s="103"/>
      <c r="LH59" s="103"/>
      <c r="LI59" s="103"/>
      <c r="LJ59" s="103"/>
      <c r="LK59" s="103"/>
      <c r="LL59" s="103"/>
      <c r="LM59" s="103"/>
      <c r="LN59" s="103"/>
      <c r="LO59" s="103"/>
      <c r="LP59" s="103"/>
      <c r="LQ59" s="103"/>
      <c r="LR59" s="103"/>
      <c r="LS59" s="103"/>
      <c r="LT59" s="103"/>
      <c r="LU59" s="103"/>
      <c r="LV59" s="103"/>
      <c r="LW59" s="103"/>
      <c r="LX59" s="103"/>
      <c r="LY59" s="103"/>
      <c r="LZ59" s="103"/>
      <c r="MA59" s="103"/>
      <c r="MB59" s="103"/>
      <c r="MC59" s="103"/>
      <c r="MD59" s="103"/>
      <c r="ME59" s="103"/>
      <c r="MF59" s="103"/>
      <c r="MG59" s="103"/>
      <c r="MH59" s="103"/>
      <c r="MI59" s="103"/>
      <c r="MJ59" s="103"/>
      <c r="MK59" s="103"/>
      <c r="ML59" s="103"/>
      <c r="MM59" s="103"/>
      <c r="MN59" s="103"/>
      <c r="MO59" s="103"/>
      <c r="MP59" s="103"/>
      <c r="MQ59" s="103"/>
      <c r="MR59" s="103"/>
      <c r="MS59" s="103"/>
      <c r="MT59" s="103"/>
      <c r="MU59" s="103"/>
      <c r="MV59" s="103"/>
      <c r="MW59" s="103"/>
      <c r="MX59" s="103"/>
      <c r="MY59" s="103"/>
      <c r="MZ59" s="103"/>
      <c r="NA59" s="103"/>
      <c r="NB59" s="103"/>
      <c r="NC59" s="103"/>
      <c r="ND59" s="103"/>
      <c r="NE59" s="103"/>
      <c r="NF59" s="103"/>
      <c r="NG59" s="103"/>
      <c r="NH59" s="103"/>
      <c r="NI59" s="103"/>
      <c r="NJ59" s="103"/>
      <c r="NK59" s="103"/>
      <c r="NL59" s="103"/>
      <c r="NM59" s="103"/>
      <c r="NN59" s="103"/>
      <c r="NO59" s="103"/>
      <c r="NP59" s="103"/>
      <c r="NQ59" s="103"/>
      <c r="NR59" s="103"/>
      <c r="NS59" s="103"/>
      <c r="NT59" s="103"/>
      <c r="NU59" s="103"/>
      <c r="NV59" s="103"/>
      <c r="NW59" s="103"/>
      <c r="NX59" s="103"/>
      <c r="NY59" s="103"/>
      <c r="NZ59" s="103"/>
      <c r="OA59" s="103"/>
      <c r="OB59" s="103"/>
      <c r="OC59" s="103"/>
      <c r="OD59" s="103"/>
      <c r="OE59" s="103"/>
      <c r="OF59" s="103"/>
      <c r="OG59" s="103"/>
      <c r="OH59" s="103"/>
      <c r="OI59" s="103"/>
      <c r="OJ59" s="103"/>
      <c r="OK59" s="103"/>
      <c r="OL59" s="103"/>
      <c r="OM59" s="103"/>
      <c r="ON59" s="103"/>
      <c r="OO59" s="103"/>
      <c r="OP59" s="103"/>
      <c r="OQ59" s="103"/>
      <c r="OR59" s="103"/>
      <c r="OS59" s="103"/>
      <c r="OT59" s="103"/>
      <c r="OU59" s="103"/>
      <c r="OV59" s="103"/>
      <c r="OW59" s="103"/>
      <c r="OX59" s="103"/>
      <c r="OY59" s="103"/>
      <c r="OZ59" s="103"/>
      <c r="PA59" s="103"/>
      <c r="PB59" s="103"/>
      <c r="PC59" s="103"/>
      <c r="PD59" s="103"/>
      <c r="PE59" s="103"/>
      <c r="PF59" s="103"/>
      <c r="PG59" s="103"/>
      <c r="PH59" s="103"/>
      <c r="PI59" s="103"/>
      <c r="PJ59" s="103"/>
      <c r="PK59" s="103"/>
      <c r="PL59" s="103"/>
      <c r="PM59" s="103"/>
      <c r="PN59" s="103"/>
      <c r="PO59" s="103"/>
      <c r="PP59" s="103"/>
      <c r="PQ59" s="103"/>
      <c r="PR59" s="103"/>
      <c r="PS59" s="103"/>
      <c r="PT59" s="103"/>
      <c r="PU59" s="103"/>
      <c r="PV59" s="103"/>
      <c r="PW59" s="103"/>
      <c r="PX59" s="103"/>
      <c r="PY59" s="103"/>
      <c r="PZ59" s="103"/>
      <c r="QA59" s="103"/>
      <c r="QB59" s="103"/>
      <c r="QC59" s="103"/>
      <c r="QD59" s="103"/>
      <c r="QE59" s="103"/>
      <c r="QF59" s="103"/>
      <c r="QG59" s="103"/>
      <c r="QH59" s="103"/>
      <c r="QI59" s="103"/>
      <c r="QJ59" s="103"/>
      <c r="QK59" s="103"/>
      <c r="QL59" s="103"/>
      <c r="QM59" s="103"/>
      <c r="QN59" s="103"/>
      <c r="QO59" s="103"/>
      <c r="QP59" s="103"/>
      <c r="QQ59" s="103"/>
      <c r="QR59" s="103"/>
      <c r="QS59" s="103"/>
      <c r="QT59" s="103"/>
      <c r="QU59" s="103"/>
      <c r="QV59" s="103"/>
      <c r="QW59" s="103"/>
      <c r="QX59" s="103"/>
      <c r="QY59" s="103"/>
      <c r="QZ59" s="103"/>
      <c r="RA59" s="103"/>
      <c r="RB59" s="103"/>
      <c r="RC59" s="103"/>
      <c r="RD59" s="103"/>
      <c r="RE59" s="103"/>
      <c r="RF59" s="103"/>
      <c r="RG59" s="103"/>
      <c r="RH59" s="103"/>
      <c r="RI59" s="103"/>
      <c r="RJ59" s="103"/>
      <c r="RK59" s="103"/>
      <c r="RL59" s="103"/>
      <c r="RM59" s="103"/>
      <c r="RN59" s="103"/>
    </row>
    <row r="60" spans="1:482" s="60" customFormat="1" ht="11.25" customHeight="1" x14ac:dyDescent="0.2">
      <c r="A60" s="175" t="s">
        <v>880</v>
      </c>
      <c r="B60" s="175"/>
      <c r="C60" s="175"/>
      <c r="D60" s="142">
        <f>SUM(D61:D62)</f>
        <v>0</v>
      </c>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t="s">
        <v>912</v>
      </c>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103"/>
      <c r="DM60" s="99"/>
      <c r="DN60" s="103"/>
      <c r="DO60" s="99"/>
      <c r="DP60" s="99"/>
      <c r="DQ60" s="99"/>
      <c r="DR60" s="99"/>
      <c r="DS60" s="99"/>
      <c r="DT60" s="99"/>
      <c r="DU60" s="99"/>
      <c r="DV60" s="99"/>
      <c r="DW60" s="99"/>
      <c r="DX60" s="102"/>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99"/>
      <c r="NC60" s="99"/>
      <c r="ND60" s="99"/>
      <c r="NE60" s="99"/>
      <c r="NF60" s="99"/>
      <c r="NG60" s="99"/>
      <c r="NH60" s="99"/>
      <c r="NI60" s="99"/>
      <c r="NJ60" s="99"/>
      <c r="NK60" s="99"/>
      <c r="NL60" s="99"/>
      <c r="NM60" s="99"/>
      <c r="NN60" s="99"/>
      <c r="NO60" s="99"/>
      <c r="NP60" s="99"/>
      <c r="NQ60" s="99"/>
      <c r="NR60" s="99"/>
      <c r="NS60" s="99"/>
      <c r="NT60" s="99"/>
      <c r="NU60" s="99"/>
      <c r="NV60" s="99"/>
      <c r="NW60" s="99"/>
      <c r="NX60" s="99"/>
      <c r="NY60" s="99"/>
      <c r="NZ60" s="99"/>
      <c r="OA60" s="99"/>
      <c r="OB60" s="99"/>
      <c r="OC60" s="99"/>
      <c r="OD60" s="99"/>
      <c r="OE60" s="99"/>
      <c r="OF60" s="99"/>
      <c r="OG60" s="99"/>
      <c r="OH60" s="99"/>
      <c r="OI60" s="99"/>
      <c r="OJ60" s="99"/>
      <c r="OK60" s="99"/>
      <c r="OL60" s="99"/>
      <c r="OM60" s="99"/>
      <c r="ON60" s="99"/>
      <c r="OO60" s="99"/>
      <c r="OP60" s="99"/>
      <c r="OQ60" s="99"/>
      <c r="OR60" s="99"/>
      <c r="OS60" s="99"/>
      <c r="OT60" s="99"/>
      <c r="OU60" s="99"/>
      <c r="OV60" s="99"/>
      <c r="OW60" s="99"/>
      <c r="OX60" s="99"/>
      <c r="OY60" s="99"/>
      <c r="OZ60" s="99"/>
      <c r="PA60" s="99"/>
      <c r="PB60" s="99"/>
      <c r="PC60" s="99"/>
      <c r="PD60" s="99"/>
      <c r="PE60" s="99"/>
      <c r="PF60" s="99"/>
      <c r="PG60" s="99"/>
      <c r="PH60" s="99"/>
      <c r="PI60" s="99"/>
      <c r="PJ60" s="99"/>
      <c r="PK60" s="99"/>
      <c r="PL60" s="99"/>
      <c r="PM60" s="99"/>
      <c r="PN60" s="99"/>
      <c r="PO60" s="99"/>
      <c r="PP60" s="99"/>
      <c r="PQ60" s="99"/>
      <c r="PR60" s="99"/>
      <c r="PS60" s="99"/>
      <c r="PT60" s="99"/>
      <c r="PU60" s="99"/>
      <c r="PV60" s="99"/>
      <c r="PW60" s="99"/>
      <c r="PX60" s="99"/>
      <c r="PY60" s="99"/>
      <c r="PZ60" s="99"/>
      <c r="QA60" s="99"/>
      <c r="QB60" s="99"/>
      <c r="QC60" s="99"/>
      <c r="QD60" s="99"/>
      <c r="QE60" s="99"/>
      <c r="QF60" s="99"/>
      <c r="QG60" s="99"/>
      <c r="QH60" s="99"/>
      <c r="QI60" s="99"/>
      <c r="QJ60" s="99"/>
      <c r="QK60" s="99"/>
      <c r="QL60" s="99"/>
      <c r="QM60" s="99"/>
      <c r="QN60" s="99"/>
      <c r="QO60" s="99"/>
      <c r="QP60" s="99"/>
      <c r="QQ60" s="99"/>
      <c r="QR60" s="99"/>
      <c r="QS60" s="99"/>
      <c r="QT60" s="99"/>
      <c r="QU60" s="99"/>
      <c r="QV60" s="99"/>
      <c r="QW60" s="99"/>
      <c r="QX60" s="99"/>
      <c r="QY60" s="99"/>
      <c r="QZ60" s="99"/>
      <c r="RA60" s="99"/>
      <c r="RB60" s="99"/>
      <c r="RC60" s="99"/>
      <c r="RD60" s="99"/>
      <c r="RE60" s="99"/>
      <c r="RF60" s="99"/>
      <c r="RG60" s="99"/>
      <c r="RH60" s="99"/>
      <c r="RI60" s="99"/>
      <c r="RJ60" s="99"/>
      <c r="RK60" s="99"/>
      <c r="RL60" s="99"/>
      <c r="RM60" s="99"/>
      <c r="RN60" s="99"/>
    </row>
    <row r="61" spans="1:482" s="60" customFormat="1" ht="11.25" customHeight="1" x14ac:dyDescent="0.2">
      <c r="A61" s="125" t="s">
        <v>801</v>
      </c>
      <c r="B61" s="175" t="s">
        <v>802</v>
      </c>
      <c r="C61" s="175"/>
      <c r="D61" s="115">
        <f>SUM(E61:RR61)</f>
        <v>0</v>
      </c>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t="s">
        <v>912</v>
      </c>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103"/>
      <c r="DM61" s="99"/>
      <c r="DN61" s="103"/>
      <c r="DO61" s="99"/>
      <c r="DP61" s="99"/>
      <c r="DQ61" s="99"/>
      <c r="DR61" s="99"/>
      <c r="DS61" s="99"/>
      <c r="DT61" s="99"/>
      <c r="DU61" s="99"/>
      <c r="DV61" s="99"/>
      <c r="DW61" s="99"/>
      <c r="DX61" s="102"/>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99"/>
      <c r="MX61" s="99"/>
      <c r="MY61" s="99"/>
      <c r="MZ61" s="99"/>
      <c r="NA61" s="99"/>
      <c r="NB61" s="99"/>
      <c r="NC61" s="99"/>
      <c r="ND61" s="99"/>
      <c r="NE61" s="99"/>
      <c r="NF61" s="99"/>
      <c r="NG61" s="99"/>
      <c r="NH61" s="99"/>
      <c r="NI61" s="99"/>
      <c r="NJ61" s="99"/>
      <c r="NK61" s="99"/>
      <c r="NL61" s="99"/>
      <c r="NM61" s="99"/>
      <c r="NN61" s="99"/>
      <c r="NO61" s="99"/>
      <c r="NP61" s="99"/>
      <c r="NQ61" s="99"/>
      <c r="NR61" s="99"/>
      <c r="NS61" s="99"/>
      <c r="NT61" s="99"/>
      <c r="NU61" s="99"/>
      <c r="NV61" s="99"/>
      <c r="NW61" s="99"/>
      <c r="NX61" s="99"/>
      <c r="NY61" s="99"/>
      <c r="NZ61" s="99"/>
      <c r="OA61" s="99"/>
      <c r="OB61" s="99"/>
      <c r="OC61" s="99"/>
      <c r="OD61" s="99"/>
      <c r="OE61" s="99"/>
      <c r="OF61" s="99"/>
      <c r="OG61" s="99"/>
      <c r="OH61" s="99"/>
      <c r="OI61" s="99"/>
      <c r="OJ61" s="99"/>
      <c r="OK61" s="99"/>
      <c r="OL61" s="99"/>
      <c r="OM61" s="99"/>
      <c r="ON61" s="99"/>
      <c r="OO61" s="99"/>
      <c r="OP61" s="99"/>
      <c r="OQ61" s="99"/>
      <c r="OR61" s="99"/>
      <c r="OS61" s="99"/>
      <c r="OT61" s="99"/>
      <c r="OU61" s="99"/>
      <c r="OV61" s="99"/>
      <c r="OW61" s="99"/>
      <c r="OX61" s="99"/>
      <c r="OY61" s="99"/>
      <c r="OZ61" s="99"/>
      <c r="PA61" s="99"/>
      <c r="PB61" s="99"/>
      <c r="PC61" s="99"/>
      <c r="PD61" s="99"/>
      <c r="PE61" s="99"/>
      <c r="PF61" s="99"/>
      <c r="PG61" s="99"/>
      <c r="PH61" s="99"/>
      <c r="PI61" s="99"/>
      <c r="PJ61" s="99"/>
      <c r="PK61" s="99"/>
      <c r="PL61" s="99"/>
      <c r="PM61" s="99"/>
      <c r="PN61" s="99"/>
      <c r="PO61" s="99"/>
      <c r="PP61" s="99"/>
      <c r="PQ61" s="99"/>
      <c r="PR61" s="99"/>
      <c r="PS61" s="99"/>
      <c r="PT61" s="99"/>
      <c r="PU61" s="99"/>
      <c r="PV61" s="99"/>
      <c r="PW61" s="99"/>
      <c r="PX61" s="99"/>
      <c r="PY61" s="99"/>
      <c r="PZ61" s="99"/>
      <c r="QA61" s="99"/>
      <c r="QB61" s="99"/>
      <c r="QC61" s="99"/>
      <c r="QD61" s="99"/>
      <c r="QE61" s="99"/>
      <c r="QF61" s="99"/>
      <c r="QG61" s="99"/>
      <c r="QH61" s="99"/>
      <c r="QI61" s="99"/>
      <c r="QJ61" s="99"/>
      <c r="QK61" s="99"/>
      <c r="QL61" s="99"/>
      <c r="QM61" s="99"/>
      <c r="QN61" s="99"/>
      <c r="QO61" s="99"/>
      <c r="QP61" s="99"/>
      <c r="QQ61" s="99"/>
      <c r="QR61" s="99"/>
      <c r="QS61" s="99"/>
      <c r="QT61" s="99"/>
      <c r="QU61" s="99"/>
      <c r="QV61" s="99"/>
      <c r="QW61" s="99"/>
      <c r="QX61" s="99"/>
      <c r="QY61" s="99"/>
      <c r="QZ61" s="99"/>
      <c r="RA61" s="99"/>
      <c r="RB61" s="99"/>
      <c r="RC61" s="99"/>
      <c r="RD61" s="99"/>
      <c r="RE61" s="99"/>
      <c r="RF61" s="99"/>
      <c r="RG61" s="99"/>
      <c r="RH61" s="99"/>
      <c r="RI61" s="99"/>
      <c r="RJ61" s="99"/>
      <c r="RK61" s="99"/>
      <c r="RL61" s="99"/>
      <c r="RM61" s="99"/>
      <c r="RN61" s="99"/>
    </row>
    <row r="62" spans="1:482" s="60" customFormat="1" ht="11.25" customHeight="1" x14ac:dyDescent="0.2">
      <c r="A62" s="125" t="s">
        <v>803</v>
      </c>
      <c r="B62" s="175" t="s">
        <v>804</v>
      </c>
      <c r="C62" s="175"/>
      <c r="D62" s="115">
        <f>SUM(E62:RR62)</f>
        <v>0</v>
      </c>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t="s">
        <v>912</v>
      </c>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103"/>
      <c r="DM62" s="99"/>
      <c r="DN62" s="103"/>
      <c r="DO62" s="99"/>
      <c r="DP62" s="99"/>
      <c r="DQ62" s="99"/>
      <c r="DR62" s="99"/>
      <c r="DS62" s="99"/>
      <c r="DT62" s="99"/>
      <c r="DU62" s="99"/>
      <c r="DV62" s="99"/>
      <c r="DW62" s="99"/>
      <c r="DX62" s="102"/>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row>
    <row r="63" spans="1:482" s="60" customFormat="1" ht="11.25" x14ac:dyDescent="0.2">
      <c r="A63" s="184" t="s">
        <v>805</v>
      </c>
      <c r="B63" s="184"/>
      <c r="C63" s="164"/>
      <c r="D63" s="142">
        <f>D64</f>
        <v>0</v>
      </c>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t="s">
        <v>912</v>
      </c>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103"/>
      <c r="DM63" s="99"/>
      <c r="DN63" s="103"/>
      <c r="DO63" s="99"/>
      <c r="DP63" s="99"/>
      <c r="DQ63" s="99"/>
      <c r="DR63" s="99"/>
      <c r="DS63" s="99"/>
      <c r="DT63" s="99"/>
      <c r="DU63" s="99"/>
      <c r="DV63" s="99"/>
      <c r="DW63" s="99"/>
      <c r="DX63" s="102"/>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99"/>
      <c r="NF63" s="99"/>
      <c r="NG63" s="99"/>
      <c r="NH63" s="99"/>
      <c r="NI63" s="99"/>
      <c r="NJ63" s="99"/>
      <c r="NK63" s="99"/>
      <c r="NL63" s="99"/>
      <c r="NM63" s="99"/>
      <c r="NN63" s="99"/>
      <c r="NO63" s="99"/>
      <c r="NP63" s="99"/>
      <c r="NQ63" s="99"/>
      <c r="NR63" s="99"/>
      <c r="NS63" s="99"/>
      <c r="NT63" s="99"/>
      <c r="NU63" s="99"/>
      <c r="NV63" s="99"/>
      <c r="NW63" s="99"/>
      <c r="NX63" s="99"/>
      <c r="NY63" s="99"/>
      <c r="NZ63" s="99"/>
      <c r="OA63" s="99"/>
      <c r="OB63" s="99"/>
      <c r="OC63" s="99"/>
      <c r="OD63" s="99"/>
      <c r="OE63" s="99"/>
      <c r="OF63" s="99"/>
      <c r="OG63" s="99"/>
      <c r="OH63" s="99"/>
      <c r="OI63" s="99"/>
      <c r="OJ63" s="99"/>
      <c r="OK63" s="99"/>
      <c r="OL63" s="99"/>
      <c r="OM63" s="99"/>
      <c r="ON63" s="99"/>
      <c r="OO63" s="99"/>
      <c r="OP63" s="99"/>
      <c r="OQ63" s="99"/>
      <c r="OR63" s="99"/>
      <c r="OS63" s="99"/>
      <c r="OT63" s="99"/>
      <c r="OU63" s="99"/>
      <c r="OV63" s="99"/>
      <c r="OW63" s="99"/>
      <c r="OX63" s="99"/>
      <c r="OY63" s="99"/>
      <c r="OZ63" s="99"/>
      <c r="PA63" s="99"/>
      <c r="PB63" s="99"/>
      <c r="PC63" s="99"/>
      <c r="PD63" s="99"/>
      <c r="PE63" s="99"/>
      <c r="PF63" s="99"/>
      <c r="PG63" s="99"/>
      <c r="PH63" s="99"/>
      <c r="PI63" s="99"/>
      <c r="PJ63" s="99"/>
      <c r="PK63" s="99"/>
      <c r="PL63" s="99"/>
      <c r="PM63" s="99"/>
      <c r="PN63" s="99"/>
      <c r="PO63" s="99"/>
      <c r="PP63" s="99"/>
      <c r="PQ63" s="99"/>
      <c r="PR63" s="99"/>
      <c r="PS63" s="99"/>
      <c r="PT63" s="99"/>
      <c r="PU63" s="99"/>
      <c r="PV63" s="99"/>
      <c r="PW63" s="99"/>
      <c r="PX63" s="99"/>
      <c r="PY63" s="99"/>
      <c r="PZ63" s="99"/>
      <c r="QA63" s="99"/>
      <c r="QB63" s="99"/>
      <c r="QC63" s="99"/>
      <c r="QD63" s="99"/>
      <c r="QE63" s="99"/>
      <c r="QF63" s="99"/>
      <c r="QG63" s="99"/>
      <c r="QH63" s="99"/>
      <c r="QI63" s="99"/>
      <c r="QJ63" s="99"/>
      <c r="QK63" s="99"/>
      <c r="QL63" s="99"/>
      <c r="QM63" s="99"/>
      <c r="QN63" s="99"/>
      <c r="QO63" s="99"/>
      <c r="QP63" s="99"/>
      <c r="QQ63" s="99"/>
      <c r="QR63" s="99"/>
      <c r="QS63" s="99"/>
      <c r="QT63" s="99"/>
      <c r="QU63" s="99"/>
      <c r="QV63" s="99"/>
      <c r="QW63" s="99"/>
      <c r="QX63" s="99"/>
      <c r="QY63" s="99"/>
      <c r="QZ63" s="99"/>
      <c r="RA63" s="99"/>
      <c r="RB63" s="99"/>
      <c r="RC63" s="99"/>
      <c r="RD63" s="99"/>
      <c r="RE63" s="99"/>
      <c r="RF63" s="99"/>
      <c r="RG63" s="99"/>
      <c r="RH63" s="99"/>
      <c r="RI63" s="99"/>
      <c r="RJ63" s="99"/>
      <c r="RK63" s="99"/>
      <c r="RL63" s="99"/>
      <c r="RM63" s="99"/>
      <c r="RN63" s="99"/>
    </row>
    <row r="64" spans="1:482" s="60" customFormat="1" ht="11.25" customHeight="1" x14ac:dyDescent="0.2">
      <c r="A64" s="125" t="s">
        <v>806</v>
      </c>
      <c r="B64" s="175" t="s">
        <v>807</v>
      </c>
      <c r="C64" s="175"/>
      <c r="D64" s="115">
        <f>SUM(E64:RR64)</f>
        <v>0</v>
      </c>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t="s">
        <v>912</v>
      </c>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103"/>
      <c r="DM64" s="99"/>
      <c r="DN64" s="103"/>
      <c r="DO64" s="99"/>
      <c r="DP64" s="99"/>
      <c r="DQ64" s="99"/>
      <c r="DR64" s="99"/>
      <c r="DS64" s="99"/>
      <c r="DT64" s="99"/>
      <c r="DU64" s="99"/>
      <c r="DV64" s="99"/>
      <c r="DW64" s="99"/>
      <c r="DX64" s="102"/>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c r="IV64" s="99"/>
      <c r="IW64" s="99"/>
      <c r="IX64" s="99"/>
      <c r="IY64" s="99"/>
      <c r="IZ64" s="99"/>
      <c r="JA64" s="99"/>
      <c r="JB64" s="99"/>
      <c r="JC64" s="99"/>
      <c r="JD64" s="99"/>
      <c r="JE64" s="99"/>
      <c r="JF64" s="99"/>
      <c r="JG64" s="99"/>
      <c r="JH64" s="99"/>
      <c r="JI64" s="99"/>
      <c r="JJ64" s="99"/>
      <c r="JK64" s="99"/>
      <c r="JL64" s="99"/>
      <c r="JM64" s="99"/>
      <c r="JN64" s="99"/>
      <c r="JO64" s="99"/>
      <c r="JP64" s="99"/>
      <c r="JQ64" s="99"/>
      <c r="JR64" s="99"/>
      <c r="JS64" s="99"/>
      <c r="JT64" s="99"/>
      <c r="JU64" s="99"/>
      <c r="JV64" s="99"/>
      <c r="JW64" s="99"/>
      <c r="JX64" s="99"/>
      <c r="JY64" s="99"/>
      <c r="JZ64" s="99"/>
      <c r="KA64" s="99"/>
      <c r="KB64" s="99"/>
      <c r="KC64" s="99"/>
      <c r="KD64" s="99"/>
      <c r="KE64" s="99"/>
      <c r="KF64" s="99"/>
      <c r="KG64" s="99"/>
      <c r="KH64" s="99"/>
      <c r="KI64" s="99"/>
      <c r="KJ64" s="99"/>
      <c r="KK64" s="99"/>
      <c r="KL64" s="99"/>
      <c r="KM64" s="99"/>
      <c r="KN64" s="99"/>
      <c r="KO64" s="99"/>
      <c r="KP64" s="99"/>
      <c r="KQ64" s="99"/>
      <c r="KR64" s="99"/>
      <c r="KS64" s="99"/>
      <c r="KT64" s="99"/>
      <c r="KU64" s="99"/>
      <c r="KV64" s="99"/>
      <c r="KW64" s="99"/>
      <c r="KX64" s="99"/>
      <c r="KY64" s="99"/>
      <c r="KZ64" s="99"/>
      <c r="LA64" s="99"/>
      <c r="LB64" s="99"/>
      <c r="LC64" s="99"/>
      <c r="LD64" s="99"/>
      <c r="LE64" s="99"/>
      <c r="LF64" s="99"/>
      <c r="LG64" s="99"/>
      <c r="LH64" s="99"/>
      <c r="LI64" s="99"/>
      <c r="LJ64" s="99"/>
      <c r="LK64" s="99"/>
      <c r="LL64" s="99"/>
      <c r="LM64" s="99"/>
      <c r="LN64" s="99"/>
      <c r="LO64" s="99"/>
      <c r="LP64" s="99"/>
      <c r="LQ64" s="99"/>
      <c r="LR64" s="99"/>
      <c r="LS64" s="99"/>
      <c r="LT64" s="99"/>
      <c r="LU64" s="99"/>
      <c r="LV64" s="99"/>
      <c r="LW64" s="99"/>
      <c r="LX64" s="99"/>
      <c r="LY64" s="99"/>
      <c r="LZ64" s="99"/>
      <c r="MA64" s="99"/>
      <c r="MB64" s="99"/>
      <c r="MC64" s="99"/>
      <c r="MD64" s="99"/>
      <c r="ME64" s="99"/>
      <c r="MF64" s="99"/>
      <c r="MG64" s="99"/>
      <c r="MH64" s="99"/>
      <c r="MI64" s="99"/>
      <c r="MJ64" s="99"/>
      <c r="MK64" s="99"/>
      <c r="ML64" s="99"/>
      <c r="MM64" s="99"/>
      <c r="MN64" s="99"/>
      <c r="MO64" s="99"/>
      <c r="MP64" s="99"/>
      <c r="MQ64" s="99"/>
      <c r="MR64" s="99"/>
      <c r="MS64" s="99"/>
      <c r="MT64" s="99"/>
      <c r="MU64" s="99"/>
      <c r="MV64" s="99"/>
      <c r="MW64" s="99"/>
      <c r="MX64" s="99"/>
      <c r="MY64" s="99"/>
      <c r="MZ64" s="99"/>
      <c r="NA64" s="99"/>
      <c r="NB64" s="99"/>
      <c r="NC64" s="99"/>
      <c r="ND64" s="99"/>
      <c r="NE64" s="99"/>
      <c r="NF64" s="99"/>
      <c r="NG64" s="99"/>
      <c r="NH64" s="99"/>
      <c r="NI64" s="99"/>
      <c r="NJ64" s="99"/>
      <c r="NK64" s="99"/>
      <c r="NL64" s="99"/>
      <c r="NM64" s="99"/>
      <c r="NN64" s="99"/>
      <c r="NO64" s="99"/>
      <c r="NP64" s="99"/>
      <c r="NQ64" s="99"/>
      <c r="NR64" s="99"/>
      <c r="NS64" s="99"/>
      <c r="NT64" s="99"/>
      <c r="NU64" s="99"/>
      <c r="NV64" s="99"/>
      <c r="NW64" s="99"/>
      <c r="NX64" s="99"/>
      <c r="NY64" s="99"/>
      <c r="NZ64" s="99"/>
      <c r="OA64" s="99"/>
      <c r="OB64" s="99"/>
      <c r="OC64" s="99"/>
      <c r="OD64" s="99"/>
      <c r="OE64" s="99"/>
      <c r="OF64" s="99"/>
      <c r="OG64" s="99"/>
      <c r="OH64" s="99"/>
      <c r="OI64" s="99"/>
      <c r="OJ64" s="99"/>
      <c r="OK64" s="99"/>
      <c r="OL64" s="99"/>
      <c r="OM64" s="99"/>
      <c r="ON64" s="99"/>
      <c r="OO64" s="99"/>
      <c r="OP64" s="99"/>
      <c r="OQ64" s="99"/>
      <c r="OR64" s="99"/>
      <c r="OS64" s="99"/>
      <c r="OT64" s="99"/>
      <c r="OU64" s="99"/>
      <c r="OV64" s="99"/>
      <c r="OW64" s="99"/>
      <c r="OX64" s="99"/>
      <c r="OY64" s="99"/>
      <c r="OZ64" s="99"/>
      <c r="PA64" s="99"/>
      <c r="PB64" s="99"/>
      <c r="PC64" s="99"/>
      <c r="PD64" s="99"/>
      <c r="PE64" s="99"/>
      <c r="PF64" s="99"/>
      <c r="PG64" s="99"/>
      <c r="PH64" s="99"/>
      <c r="PI64" s="99"/>
      <c r="PJ64" s="99"/>
      <c r="PK64" s="99"/>
      <c r="PL64" s="99"/>
      <c r="PM64" s="99"/>
      <c r="PN64" s="99"/>
      <c r="PO64" s="99"/>
      <c r="PP64" s="99"/>
      <c r="PQ64" s="99"/>
      <c r="PR64" s="99"/>
      <c r="PS64" s="99"/>
      <c r="PT64" s="99"/>
      <c r="PU64" s="99"/>
      <c r="PV64" s="99"/>
      <c r="PW64" s="99"/>
      <c r="PX64" s="99"/>
      <c r="PY64" s="99"/>
      <c r="PZ64" s="99"/>
      <c r="QA64" s="99"/>
      <c r="QB64" s="99"/>
      <c r="QC64" s="99"/>
      <c r="QD64" s="99"/>
      <c r="QE64" s="99"/>
      <c r="QF64" s="99"/>
      <c r="QG64" s="99"/>
      <c r="QH64" s="99"/>
      <c r="QI64" s="99"/>
      <c r="QJ64" s="99"/>
      <c r="QK64" s="99"/>
      <c r="QL64" s="99"/>
      <c r="QM64" s="99"/>
      <c r="QN64" s="99"/>
      <c r="QO64" s="99"/>
      <c r="QP64" s="99"/>
      <c r="QQ64" s="99"/>
      <c r="QR64" s="99"/>
      <c r="QS64" s="99"/>
      <c r="QT64" s="99"/>
      <c r="QU64" s="99"/>
      <c r="QV64" s="99"/>
      <c r="QW64" s="99"/>
      <c r="QX64" s="99"/>
      <c r="QY64" s="99"/>
      <c r="QZ64" s="99"/>
      <c r="RA64" s="99"/>
      <c r="RB64" s="99"/>
      <c r="RC64" s="99"/>
      <c r="RD64" s="99"/>
      <c r="RE64" s="99"/>
      <c r="RF64" s="99"/>
      <c r="RG64" s="99"/>
      <c r="RH64" s="99"/>
      <c r="RI64" s="99"/>
      <c r="RJ64" s="99"/>
      <c r="RK64" s="99"/>
      <c r="RL64" s="99"/>
      <c r="RM64" s="99"/>
      <c r="RN64" s="99"/>
    </row>
    <row r="65" spans="1:482" s="60" customFormat="1" ht="11.25" x14ac:dyDescent="0.2">
      <c r="A65" s="122">
        <v>2.5</v>
      </c>
      <c r="B65" s="175" t="s">
        <v>808</v>
      </c>
      <c r="C65" s="175"/>
      <c r="D65" s="115"/>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t="s">
        <v>912</v>
      </c>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103"/>
      <c r="DM65" s="99"/>
      <c r="DN65" s="103"/>
      <c r="DO65" s="99"/>
      <c r="DP65" s="99"/>
      <c r="DQ65" s="99"/>
      <c r="DR65" s="99"/>
      <c r="DS65" s="99"/>
      <c r="DT65" s="99"/>
      <c r="DU65" s="99"/>
      <c r="DV65" s="99"/>
      <c r="DW65" s="99"/>
      <c r="DX65" s="102"/>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99"/>
      <c r="JH65" s="99"/>
      <c r="JI65" s="99"/>
      <c r="JJ65" s="99"/>
      <c r="JK65" s="99"/>
      <c r="JL65" s="99"/>
      <c r="JM65" s="99"/>
      <c r="JN65" s="99"/>
      <c r="JO65" s="99"/>
      <c r="JP65" s="99"/>
      <c r="JQ65" s="99"/>
      <c r="JR65" s="99"/>
      <c r="JS65" s="99"/>
      <c r="JT65" s="99"/>
      <c r="JU65" s="99"/>
      <c r="JV65" s="99"/>
      <c r="JW65" s="99"/>
      <c r="JX65" s="99"/>
      <c r="JY65" s="99"/>
      <c r="JZ65" s="99"/>
      <c r="KA65" s="99"/>
      <c r="KB65" s="99"/>
      <c r="KC65" s="99"/>
      <c r="KD65" s="99"/>
      <c r="KE65" s="99"/>
      <c r="KF65" s="99"/>
      <c r="KG65" s="99"/>
      <c r="KH65" s="99"/>
      <c r="KI65" s="99"/>
      <c r="KJ65" s="99"/>
      <c r="KK65" s="99"/>
      <c r="KL65" s="99"/>
      <c r="KM65" s="99"/>
      <c r="KN65" s="99"/>
      <c r="KO65" s="99"/>
      <c r="KP65" s="99"/>
      <c r="KQ65" s="99"/>
      <c r="KR65" s="99"/>
      <c r="KS65" s="99"/>
      <c r="KT65" s="99"/>
      <c r="KU65" s="99"/>
      <c r="KV65" s="99"/>
      <c r="KW65" s="99"/>
      <c r="KX65" s="99"/>
      <c r="KY65" s="99"/>
      <c r="KZ65" s="99"/>
      <c r="LA65" s="99"/>
      <c r="LB65" s="99"/>
      <c r="LC65" s="99"/>
      <c r="LD65" s="99"/>
      <c r="LE65" s="99"/>
      <c r="LF65" s="99"/>
      <c r="LG65" s="99"/>
      <c r="LH65" s="99"/>
      <c r="LI65" s="99"/>
      <c r="LJ65" s="99"/>
      <c r="LK65" s="99"/>
      <c r="LL65" s="99"/>
      <c r="LM65" s="99"/>
      <c r="LN65" s="99"/>
      <c r="LO65" s="99"/>
      <c r="LP65" s="99"/>
      <c r="LQ65" s="99"/>
      <c r="LR65" s="99"/>
      <c r="LS65" s="99"/>
      <c r="LT65" s="99"/>
      <c r="LU65" s="99"/>
      <c r="LV65" s="99"/>
      <c r="LW65" s="99"/>
      <c r="LX65" s="99"/>
      <c r="LY65" s="99"/>
      <c r="LZ65" s="99"/>
      <c r="MA65" s="99"/>
      <c r="MB65" s="99"/>
      <c r="MC65" s="99"/>
      <c r="MD65" s="99"/>
      <c r="ME65" s="99"/>
      <c r="MF65" s="99"/>
      <c r="MG65" s="99"/>
      <c r="MH65" s="99"/>
      <c r="MI65" s="99"/>
      <c r="MJ65" s="99"/>
      <c r="MK65" s="99"/>
      <c r="ML65" s="99"/>
      <c r="MM65" s="99"/>
      <c r="MN65" s="99"/>
      <c r="MO65" s="99"/>
      <c r="MP65" s="99"/>
      <c r="MQ65" s="99"/>
      <c r="MR65" s="99"/>
      <c r="MS65" s="99"/>
      <c r="MT65" s="99"/>
      <c r="MU65" s="99"/>
      <c r="MV65" s="99"/>
      <c r="MW65" s="99"/>
      <c r="MX65" s="99"/>
      <c r="MY65" s="99"/>
      <c r="MZ65" s="99"/>
      <c r="NA65" s="99"/>
      <c r="NB65" s="99"/>
      <c r="NC65" s="99"/>
      <c r="ND65" s="99"/>
      <c r="NE65" s="99"/>
      <c r="NF65" s="99"/>
      <c r="NG65" s="99"/>
      <c r="NH65" s="99"/>
      <c r="NI65" s="99"/>
      <c r="NJ65" s="99"/>
      <c r="NK65" s="99"/>
      <c r="NL65" s="99"/>
      <c r="NM65" s="99"/>
      <c r="NN65" s="99"/>
      <c r="NO65" s="99"/>
      <c r="NP65" s="99"/>
      <c r="NQ65" s="99"/>
      <c r="NR65" s="99"/>
      <c r="NS65" s="99"/>
      <c r="NT65" s="99"/>
      <c r="NU65" s="99"/>
      <c r="NV65" s="99"/>
      <c r="NW65" s="99"/>
      <c r="NX65" s="99"/>
      <c r="NY65" s="99"/>
      <c r="NZ65" s="99"/>
      <c r="OA65" s="99"/>
      <c r="OB65" s="99"/>
      <c r="OC65" s="99"/>
      <c r="OD65" s="99"/>
      <c r="OE65" s="99"/>
      <c r="OF65" s="99"/>
      <c r="OG65" s="99"/>
      <c r="OH65" s="99"/>
      <c r="OI65" s="99"/>
      <c r="OJ65" s="99"/>
      <c r="OK65" s="99"/>
      <c r="OL65" s="99"/>
      <c r="OM65" s="99"/>
      <c r="ON65" s="99"/>
      <c r="OO65" s="99"/>
      <c r="OP65" s="99"/>
      <c r="OQ65" s="99"/>
      <c r="OR65" s="99"/>
      <c r="OS65" s="99"/>
      <c r="OT65" s="99"/>
      <c r="OU65" s="99"/>
      <c r="OV65" s="99"/>
      <c r="OW65" s="99"/>
      <c r="OX65" s="99"/>
      <c r="OY65" s="99"/>
      <c r="OZ65" s="99"/>
      <c r="PA65" s="99"/>
      <c r="PB65" s="99"/>
      <c r="PC65" s="99"/>
      <c r="PD65" s="99"/>
      <c r="PE65" s="99"/>
      <c r="PF65" s="99"/>
      <c r="PG65" s="99"/>
      <c r="PH65" s="99"/>
      <c r="PI65" s="99"/>
      <c r="PJ65" s="99"/>
      <c r="PK65" s="99"/>
      <c r="PL65" s="99"/>
      <c r="PM65" s="99"/>
      <c r="PN65" s="99"/>
      <c r="PO65" s="99"/>
      <c r="PP65" s="99"/>
      <c r="PQ65" s="99"/>
      <c r="PR65" s="99"/>
      <c r="PS65" s="99"/>
      <c r="PT65" s="99"/>
      <c r="PU65" s="99"/>
      <c r="PV65" s="99"/>
      <c r="PW65" s="99"/>
      <c r="PX65" s="99"/>
      <c r="PY65" s="99"/>
      <c r="PZ65" s="99"/>
      <c r="QA65" s="99"/>
      <c r="QB65" s="99"/>
      <c r="QC65" s="99"/>
      <c r="QD65" s="99"/>
      <c r="QE65" s="99"/>
      <c r="QF65" s="99"/>
      <c r="QG65" s="99"/>
      <c r="QH65" s="99"/>
      <c r="QI65" s="99"/>
      <c r="QJ65" s="99"/>
      <c r="QK65" s="99"/>
      <c r="QL65" s="99"/>
      <c r="QM65" s="99"/>
      <c r="QN65" s="99"/>
      <c r="QO65" s="99"/>
      <c r="QP65" s="99"/>
      <c r="QQ65" s="99"/>
      <c r="QR65" s="99"/>
      <c r="QS65" s="99"/>
      <c r="QT65" s="99"/>
      <c r="QU65" s="99"/>
      <c r="QV65" s="99"/>
      <c r="QW65" s="99"/>
      <c r="QX65" s="99"/>
      <c r="QY65" s="99"/>
      <c r="QZ65" s="99"/>
      <c r="RA65" s="99"/>
      <c r="RB65" s="99"/>
      <c r="RC65" s="99"/>
      <c r="RD65" s="99"/>
      <c r="RE65" s="99"/>
      <c r="RF65" s="99"/>
      <c r="RG65" s="99"/>
      <c r="RH65" s="99"/>
      <c r="RI65" s="99"/>
      <c r="RJ65" s="99"/>
      <c r="RK65" s="99"/>
      <c r="RL65" s="99"/>
      <c r="RM65" s="99"/>
      <c r="RN65" s="99"/>
    </row>
    <row r="66" spans="1:482" s="60" customFormat="1" ht="11.25" x14ac:dyDescent="0.2">
      <c r="A66" s="125" t="s">
        <v>809</v>
      </c>
      <c r="B66" s="161" t="s">
        <v>786</v>
      </c>
      <c r="C66" s="109"/>
      <c r="D66" s="115"/>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t="s">
        <v>912</v>
      </c>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103"/>
      <c r="DM66" s="99"/>
      <c r="DN66" s="103"/>
      <c r="DO66" s="99"/>
      <c r="DP66" s="99"/>
      <c r="DQ66" s="99"/>
      <c r="DR66" s="99"/>
      <c r="DS66" s="99"/>
      <c r="DT66" s="99"/>
      <c r="DU66" s="99"/>
      <c r="DV66" s="99"/>
      <c r="DW66" s="99"/>
      <c r="DX66" s="102"/>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c r="IV66" s="99"/>
      <c r="IW66" s="99"/>
      <c r="IX66" s="99"/>
      <c r="IY66" s="99"/>
      <c r="IZ66" s="99"/>
      <c r="JA66" s="99"/>
      <c r="JB66" s="99"/>
      <c r="JC66" s="99"/>
      <c r="JD66" s="99"/>
      <c r="JE66" s="99"/>
      <c r="JF66" s="99"/>
      <c r="JG66" s="99"/>
      <c r="JH66" s="99"/>
      <c r="JI66" s="99"/>
      <c r="JJ66" s="99"/>
      <c r="JK66" s="99"/>
      <c r="JL66" s="99"/>
      <c r="JM66" s="99"/>
      <c r="JN66" s="99"/>
      <c r="JO66" s="99"/>
      <c r="JP66" s="99"/>
      <c r="JQ66" s="99"/>
      <c r="JR66" s="99"/>
      <c r="JS66" s="99"/>
      <c r="JT66" s="99"/>
      <c r="JU66" s="99"/>
      <c r="JV66" s="99"/>
      <c r="JW66" s="99"/>
      <c r="JX66" s="99"/>
      <c r="JY66" s="99"/>
      <c r="JZ66" s="99"/>
      <c r="KA66" s="99"/>
      <c r="KB66" s="99"/>
      <c r="KC66" s="99"/>
      <c r="KD66" s="99"/>
      <c r="KE66" s="99"/>
      <c r="KF66" s="99"/>
      <c r="KG66" s="99"/>
      <c r="KH66" s="99"/>
      <c r="KI66" s="99"/>
      <c r="KJ66" s="99"/>
      <c r="KK66" s="99"/>
      <c r="KL66" s="99"/>
      <c r="KM66" s="99"/>
      <c r="KN66" s="99"/>
      <c r="KO66" s="99"/>
      <c r="KP66" s="99"/>
      <c r="KQ66" s="99"/>
      <c r="KR66" s="99"/>
      <c r="KS66" s="99"/>
      <c r="KT66" s="99"/>
      <c r="KU66" s="99"/>
      <c r="KV66" s="99"/>
      <c r="KW66" s="99"/>
      <c r="KX66" s="99"/>
      <c r="KY66" s="99"/>
      <c r="KZ66" s="99"/>
      <c r="LA66" s="99"/>
      <c r="LB66" s="99"/>
      <c r="LC66" s="99"/>
      <c r="LD66" s="99"/>
      <c r="LE66" s="99"/>
      <c r="LF66" s="99"/>
      <c r="LG66" s="99"/>
      <c r="LH66" s="99"/>
      <c r="LI66" s="99"/>
      <c r="LJ66" s="99"/>
      <c r="LK66" s="99"/>
      <c r="LL66" s="99"/>
      <c r="LM66" s="99"/>
      <c r="LN66" s="99"/>
      <c r="LO66" s="99"/>
      <c r="LP66" s="99"/>
      <c r="LQ66" s="99"/>
      <c r="LR66" s="99"/>
      <c r="LS66" s="99"/>
      <c r="LT66" s="99"/>
      <c r="LU66" s="99"/>
      <c r="LV66" s="99"/>
      <c r="LW66" s="99"/>
      <c r="LX66" s="99"/>
      <c r="LY66" s="99"/>
      <c r="LZ66" s="99"/>
      <c r="MA66" s="99"/>
      <c r="MB66" s="99"/>
      <c r="MC66" s="99"/>
      <c r="MD66" s="99"/>
      <c r="ME66" s="99"/>
      <c r="MF66" s="99"/>
      <c r="MG66" s="99"/>
      <c r="MH66" s="99"/>
      <c r="MI66" s="99"/>
      <c r="MJ66" s="99"/>
      <c r="MK66" s="99"/>
      <c r="ML66" s="99"/>
      <c r="MM66" s="99"/>
      <c r="MN66" s="99"/>
      <c r="MO66" s="99"/>
      <c r="MP66" s="99"/>
      <c r="MQ66" s="99"/>
      <c r="MR66" s="99"/>
      <c r="MS66" s="99"/>
      <c r="MT66" s="99"/>
      <c r="MU66" s="99"/>
      <c r="MV66" s="99"/>
      <c r="MW66" s="99"/>
      <c r="MX66" s="99"/>
      <c r="MY66" s="99"/>
      <c r="MZ66" s="99"/>
      <c r="NA66" s="99"/>
      <c r="NB66" s="99"/>
      <c r="NC66" s="99"/>
      <c r="ND66" s="99"/>
      <c r="NE66" s="99"/>
      <c r="NF66" s="99"/>
      <c r="NG66" s="99"/>
      <c r="NH66" s="99"/>
      <c r="NI66" s="99"/>
      <c r="NJ66" s="99"/>
      <c r="NK66" s="99"/>
      <c r="NL66" s="99"/>
      <c r="NM66" s="99"/>
      <c r="NN66" s="99"/>
      <c r="NO66" s="99"/>
      <c r="NP66" s="99"/>
      <c r="NQ66" s="99"/>
      <c r="NR66" s="99"/>
      <c r="NS66" s="99"/>
      <c r="NT66" s="99"/>
      <c r="NU66" s="99"/>
      <c r="NV66" s="99"/>
      <c r="NW66" s="99"/>
      <c r="NX66" s="99"/>
      <c r="NY66" s="99"/>
      <c r="NZ66" s="99"/>
      <c r="OA66" s="99"/>
      <c r="OB66" s="99"/>
      <c r="OC66" s="99"/>
      <c r="OD66" s="99"/>
      <c r="OE66" s="99"/>
      <c r="OF66" s="99"/>
      <c r="OG66" s="99"/>
      <c r="OH66" s="99"/>
      <c r="OI66" s="99"/>
      <c r="OJ66" s="99"/>
      <c r="OK66" s="99"/>
      <c r="OL66" s="99"/>
      <c r="OM66" s="99"/>
      <c r="ON66" s="99"/>
      <c r="OO66" s="99"/>
      <c r="OP66" s="99"/>
      <c r="OQ66" s="99"/>
      <c r="OR66" s="99"/>
      <c r="OS66" s="99"/>
      <c r="OT66" s="99"/>
      <c r="OU66" s="99"/>
      <c r="OV66" s="99"/>
      <c r="OW66" s="99"/>
      <c r="OX66" s="99"/>
      <c r="OY66" s="99"/>
      <c r="OZ66" s="99"/>
      <c r="PA66" s="99"/>
      <c r="PB66" s="99"/>
      <c r="PC66" s="99"/>
      <c r="PD66" s="99"/>
      <c r="PE66" s="99"/>
      <c r="PF66" s="99"/>
      <c r="PG66" s="99"/>
      <c r="PH66" s="99"/>
      <c r="PI66" s="99"/>
      <c r="PJ66" s="99"/>
      <c r="PK66" s="99"/>
      <c r="PL66" s="99"/>
      <c r="PM66" s="99"/>
      <c r="PN66" s="99"/>
      <c r="PO66" s="99"/>
      <c r="PP66" s="99"/>
      <c r="PQ66" s="99"/>
      <c r="PR66" s="99"/>
      <c r="PS66" s="99"/>
      <c r="PT66" s="99"/>
      <c r="PU66" s="99"/>
      <c r="PV66" s="99"/>
      <c r="PW66" s="99"/>
      <c r="PX66" s="99"/>
      <c r="PY66" s="99"/>
      <c r="PZ66" s="99"/>
      <c r="QA66" s="99"/>
      <c r="QB66" s="99"/>
      <c r="QC66" s="99"/>
      <c r="QD66" s="99"/>
      <c r="QE66" s="99"/>
      <c r="QF66" s="99"/>
      <c r="QG66" s="99"/>
      <c r="QH66" s="99"/>
      <c r="QI66" s="99"/>
      <c r="QJ66" s="99"/>
      <c r="QK66" s="99"/>
      <c r="QL66" s="99"/>
      <c r="QM66" s="99"/>
      <c r="QN66" s="99"/>
      <c r="QO66" s="99"/>
      <c r="QP66" s="99"/>
      <c r="QQ66" s="99"/>
      <c r="QR66" s="99"/>
      <c r="QS66" s="99"/>
      <c r="QT66" s="99"/>
      <c r="QU66" s="99"/>
      <c r="QV66" s="99"/>
      <c r="QW66" s="99"/>
      <c r="QX66" s="99"/>
      <c r="QY66" s="99"/>
      <c r="QZ66" s="99"/>
      <c r="RA66" s="99"/>
      <c r="RB66" s="99"/>
      <c r="RC66" s="99"/>
      <c r="RD66" s="99"/>
      <c r="RE66" s="99"/>
      <c r="RF66" s="99"/>
      <c r="RG66" s="99"/>
      <c r="RH66" s="99"/>
      <c r="RI66" s="99"/>
      <c r="RJ66" s="99"/>
      <c r="RK66" s="99"/>
      <c r="RL66" s="99"/>
      <c r="RM66" s="99"/>
      <c r="RN66" s="99"/>
    </row>
    <row r="67" spans="1:482" s="60" customFormat="1" ht="11.25" x14ac:dyDescent="0.2">
      <c r="A67" s="180" t="s">
        <v>810</v>
      </c>
      <c r="B67" s="180"/>
      <c r="C67" s="180"/>
      <c r="D67" s="156">
        <f>D70+D69</f>
        <v>6093650</v>
      </c>
      <c r="E67" s="142">
        <f t="shared" ref="E67:AJ67" si="253">+E68+E70</f>
        <v>17150</v>
      </c>
      <c r="F67" s="142">
        <f t="shared" si="253"/>
        <v>0</v>
      </c>
      <c r="G67" s="142">
        <f t="shared" si="253"/>
        <v>835</v>
      </c>
      <c r="H67" s="142">
        <f t="shared" si="253"/>
        <v>103400</v>
      </c>
      <c r="I67" s="142">
        <f t="shared" si="253"/>
        <v>5600</v>
      </c>
      <c r="J67" s="142">
        <f t="shared" si="253"/>
        <v>46943.9</v>
      </c>
      <c r="K67" s="142">
        <f t="shared" si="253"/>
        <v>0</v>
      </c>
      <c r="L67" s="142">
        <f t="shared" si="253"/>
        <v>0</v>
      </c>
      <c r="M67" s="142">
        <f t="shared" si="253"/>
        <v>0</v>
      </c>
      <c r="N67" s="142">
        <f t="shared" si="253"/>
        <v>0</v>
      </c>
      <c r="O67" s="142">
        <f t="shared" si="253"/>
        <v>0</v>
      </c>
      <c r="P67" s="142">
        <f t="shared" si="253"/>
        <v>0</v>
      </c>
      <c r="Q67" s="142">
        <f t="shared" si="253"/>
        <v>0</v>
      </c>
      <c r="R67" s="142">
        <f t="shared" si="253"/>
        <v>36000</v>
      </c>
      <c r="S67" s="142">
        <f t="shared" si="253"/>
        <v>2200</v>
      </c>
      <c r="T67" s="142">
        <f t="shared" si="253"/>
        <v>0</v>
      </c>
      <c r="U67" s="142">
        <f t="shared" si="253"/>
        <v>0</v>
      </c>
      <c r="V67" s="142">
        <f t="shared" si="253"/>
        <v>0</v>
      </c>
      <c r="W67" s="142">
        <f t="shared" si="253"/>
        <v>0</v>
      </c>
      <c r="X67" s="142">
        <f t="shared" si="253"/>
        <v>0</v>
      </c>
      <c r="Y67" s="142">
        <f t="shared" si="253"/>
        <v>31802.5</v>
      </c>
      <c r="Z67" s="142">
        <f t="shared" si="253"/>
        <v>4769.3</v>
      </c>
      <c r="AA67" s="142">
        <f t="shared" si="253"/>
        <v>1000</v>
      </c>
      <c r="AB67" s="142">
        <f t="shared" si="253"/>
        <v>0</v>
      </c>
      <c r="AC67" s="142">
        <f t="shared" si="253"/>
        <v>9000</v>
      </c>
      <c r="AD67" s="142">
        <f t="shared" si="253"/>
        <v>0</v>
      </c>
      <c r="AE67" s="142">
        <f t="shared" si="253"/>
        <v>1985000</v>
      </c>
      <c r="AF67" s="142">
        <f t="shared" si="253"/>
        <v>146300</v>
      </c>
      <c r="AG67" s="142">
        <f t="shared" si="253"/>
        <v>0</v>
      </c>
      <c r="AH67" s="142">
        <f t="shared" si="253"/>
        <v>52000</v>
      </c>
      <c r="AI67" s="142">
        <f t="shared" si="253"/>
        <v>1260</v>
      </c>
      <c r="AJ67" s="142">
        <f t="shared" si="253"/>
        <v>44700</v>
      </c>
      <c r="AK67" s="142">
        <f t="shared" ref="AK67:BJ67" si="254">+AK68+AK70</f>
        <v>109130</v>
      </c>
      <c r="AL67" s="142">
        <f t="shared" si="254"/>
        <v>0</v>
      </c>
      <c r="AM67" s="142">
        <f t="shared" si="254"/>
        <v>0</v>
      </c>
      <c r="AN67" s="142">
        <f t="shared" si="254"/>
        <v>1500</v>
      </c>
      <c r="AO67" s="142">
        <f t="shared" si="254"/>
        <v>0</v>
      </c>
      <c r="AP67" s="142">
        <f t="shared" si="254"/>
        <v>3517.5</v>
      </c>
      <c r="AQ67" s="142">
        <f t="shared" si="254"/>
        <v>29986.5</v>
      </c>
      <c r="AR67" s="142">
        <f t="shared" si="254"/>
        <v>0</v>
      </c>
      <c r="AS67" s="142">
        <f t="shared" si="254"/>
        <v>10500</v>
      </c>
      <c r="AT67" s="142">
        <f t="shared" si="254"/>
        <v>907881.79999999993</v>
      </c>
      <c r="AU67" s="142">
        <f t="shared" si="254"/>
        <v>900</v>
      </c>
      <c r="AV67" s="142">
        <f t="shared" si="254"/>
        <v>0</v>
      </c>
      <c r="AW67" s="142">
        <f t="shared" si="254"/>
        <v>0</v>
      </c>
      <c r="AX67" s="142">
        <f t="shared" si="254"/>
        <v>4500</v>
      </c>
      <c r="AY67" s="142">
        <f t="shared" si="254"/>
        <v>0</v>
      </c>
      <c r="AZ67" s="142">
        <f t="shared" si="254"/>
        <v>2600</v>
      </c>
      <c r="BA67" s="142">
        <f t="shared" si="254"/>
        <v>88371.5</v>
      </c>
      <c r="BB67" s="142">
        <f t="shared" si="254"/>
        <v>20000</v>
      </c>
      <c r="BC67" s="142">
        <f t="shared" si="254"/>
        <v>30356.3</v>
      </c>
      <c r="BD67" s="142">
        <f t="shared" si="254"/>
        <v>31520.9</v>
      </c>
      <c r="BE67" s="142">
        <f t="shared" si="254"/>
        <v>27936.5</v>
      </c>
      <c r="BF67" s="142">
        <f t="shared" si="254"/>
        <v>0</v>
      </c>
      <c r="BG67" s="142">
        <f t="shared" si="254"/>
        <v>5600</v>
      </c>
      <c r="BH67" s="142">
        <f t="shared" si="254"/>
        <v>0</v>
      </c>
      <c r="BI67" s="142">
        <f t="shared" si="254"/>
        <v>0</v>
      </c>
      <c r="BJ67" s="142">
        <f t="shared" si="254"/>
        <v>7843.6</v>
      </c>
      <c r="BK67" s="142" t="s">
        <v>950</v>
      </c>
      <c r="BL67" s="97">
        <f t="shared" ref="BL67:CL67" si="255">+BL68+BL70</f>
        <v>0</v>
      </c>
      <c r="BM67" s="97">
        <f t="shared" si="255"/>
        <v>0</v>
      </c>
      <c r="BN67" s="97">
        <f t="shared" si="255"/>
        <v>0</v>
      </c>
      <c r="BO67" s="97">
        <f t="shared" si="255"/>
        <v>0</v>
      </c>
      <c r="BP67" s="97">
        <f t="shared" si="255"/>
        <v>0</v>
      </c>
      <c r="BQ67" s="97">
        <f t="shared" si="255"/>
        <v>0</v>
      </c>
      <c r="BR67" s="97">
        <f t="shared" si="255"/>
        <v>0</v>
      </c>
      <c r="BS67" s="97">
        <f t="shared" si="255"/>
        <v>0</v>
      </c>
      <c r="BT67" s="97">
        <f t="shared" si="255"/>
        <v>0</v>
      </c>
      <c r="BU67" s="97">
        <f t="shared" si="255"/>
        <v>0</v>
      </c>
      <c r="BV67" s="97">
        <f t="shared" si="255"/>
        <v>0</v>
      </c>
      <c r="BW67" s="97">
        <f t="shared" si="255"/>
        <v>250</v>
      </c>
      <c r="BX67" s="97">
        <f t="shared" si="255"/>
        <v>0</v>
      </c>
      <c r="BY67" s="97">
        <f t="shared" si="255"/>
        <v>0</v>
      </c>
      <c r="BZ67" s="97">
        <f t="shared" si="255"/>
        <v>9300</v>
      </c>
      <c r="CA67" s="97">
        <f t="shared" si="255"/>
        <v>0</v>
      </c>
      <c r="CB67" s="97">
        <f t="shared" si="255"/>
        <v>0</v>
      </c>
      <c r="CC67" s="97">
        <f t="shared" si="255"/>
        <v>23500</v>
      </c>
      <c r="CD67" s="97">
        <f t="shared" si="255"/>
        <v>24650</v>
      </c>
      <c r="CE67" s="97">
        <f t="shared" si="255"/>
        <v>500</v>
      </c>
      <c r="CF67" s="97">
        <f t="shared" si="255"/>
        <v>0</v>
      </c>
      <c r="CG67" s="97">
        <f t="shared" si="255"/>
        <v>0</v>
      </c>
      <c r="CH67" s="97">
        <f t="shared" si="255"/>
        <v>0</v>
      </c>
      <c r="CI67" s="97">
        <f t="shared" si="255"/>
        <v>0</v>
      </c>
      <c r="CJ67" s="97">
        <f t="shared" si="255"/>
        <v>0</v>
      </c>
      <c r="CK67" s="97">
        <f t="shared" si="255"/>
        <v>1000</v>
      </c>
      <c r="CL67" s="97">
        <f t="shared" si="255"/>
        <v>0</v>
      </c>
      <c r="CM67" s="97">
        <f t="shared" ref="CM67:DR67" si="256">+CM68+CM70</f>
        <v>5000</v>
      </c>
      <c r="CN67" s="97">
        <f t="shared" si="256"/>
        <v>0</v>
      </c>
      <c r="CO67" s="97">
        <f t="shared" si="256"/>
        <v>5000</v>
      </c>
      <c r="CP67" s="97">
        <f t="shared" si="256"/>
        <v>50200</v>
      </c>
      <c r="CQ67" s="97">
        <f t="shared" si="256"/>
        <v>0</v>
      </c>
      <c r="CR67" s="97">
        <f t="shared" si="256"/>
        <v>0</v>
      </c>
      <c r="CS67" s="97">
        <f t="shared" si="256"/>
        <v>328102.19999999995</v>
      </c>
      <c r="CT67" s="97">
        <f t="shared" si="256"/>
        <v>0</v>
      </c>
      <c r="CU67" s="97">
        <f t="shared" si="256"/>
        <v>0</v>
      </c>
      <c r="CV67" s="97">
        <f t="shared" si="256"/>
        <v>0</v>
      </c>
      <c r="CW67" s="97">
        <f t="shared" si="256"/>
        <v>0</v>
      </c>
      <c r="CX67" s="97">
        <f t="shared" si="256"/>
        <v>0</v>
      </c>
      <c r="CY67" s="97">
        <f t="shared" si="256"/>
        <v>0</v>
      </c>
      <c r="CZ67" s="97">
        <f t="shared" si="256"/>
        <v>0</v>
      </c>
      <c r="DA67" s="97">
        <f t="shared" si="256"/>
        <v>0</v>
      </c>
      <c r="DB67" s="97">
        <f t="shared" si="256"/>
        <v>0</v>
      </c>
      <c r="DC67" s="97">
        <f t="shared" si="256"/>
        <v>0</v>
      </c>
      <c r="DD67" s="97">
        <f t="shared" si="256"/>
        <v>0</v>
      </c>
      <c r="DE67" s="97">
        <f t="shared" si="256"/>
        <v>0</v>
      </c>
      <c r="DF67" s="97">
        <f t="shared" si="256"/>
        <v>0</v>
      </c>
      <c r="DG67" s="97">
        <f t="shared" si="256"/>
        <v>0</v>
      </c>
      <c r="DH67" s="97">
        <f t="shared" si="256"/>
        <v>0</v>
      </c>
      <c r="DI67" s="97">
        <f t="shared" si="256"/>
        <v>0</v>
      </c>
      <c r="DJ67" s="97">
        <f t="shared" si="256"/>
        <v>0</v>
      </c>
      <c r="DK67" s="97">
        <f t="shared" si="256"/>
        <v>0</v>
      </c>
      <c r="DL67" s="97">
        <f t="shared" si="256"/>
        <v>0</v>
      </c>
      <c r="DM67" s="97">
        <f t="shared" si="256"/>
        <v>167000</v>
      </c>
      <c r="DN67" s="97">
        <f t="shared" si="256"/>
        <v>0</v>
      </c>
      <c r="DO67" s="97">
        <f t="shared" si="256"/>
        <v>1000</v>
      </c>
      <c r="DP67" s="97">
        <f t="shared" si="256"/>
        <v>0</v>
      </c>
      <c r="DQ67" s="97">
        <f t="shared" si="256"/>
        <v>0</v>
      </c>
      <c r="DR67" s="97">
        <f t="shared" si="256"/>
        <v>0</v>
      </c>
      <c r="DS67" s="97">
        <f t="shared" ref="DS67:EV67" si="257">+DS68+DS70</f>
        <v>0</v>
      </c>
      <c r="DT67" s="97">
        <f t="shared" si="257"/>
        <v>0</v>
      </c>
      <c r="DU67" s="97">
        <f t="shared" si="257"/>
        <v>0</v>
      </c>
      <c r="DV67" s="97">
        <f t="shared" si="257"/>
        <v>118008.8</v>
      </c>
      <c r="DW67" s="97">
        <f t="shared" si="257"/>
        <v>0</v>
      </c>
      <c r="DX67" s="105">
        <f t="shared" si="257"/>
        <v>0</v>
      </c>
      <c r="DY67" s="97">
        <f t="shared" si="257"/>
        <v>0</v>
      </c>
      <c r="DZ67" s="97">
        <f t="shared" si="257"/>
        <v>0</v>
      </c>
      <c r="EA67" s="97">
        <f t="shared" si="257"/>
        <v>0</v>
      </c>
      <c r="EB67" s="97">
        <f t="shared" si="257"/>
        <v>60000</v>
      </c>
      <c r="EC67" s="97">
        <f t="shared" si="257"/>
        <v>0</v>
      </c>
      <c r="ED67" s="97">
        <f t="shared" si="257"/>
        <v>0</v>
      </c>
      <c r="EE67" s="97">
        <f t="shared" si="257"/>
        <v>0</v>
      </c>
      <c r="EF67" s="97">
        <f t="shared" si="257"/>
        <v>0</v>
      </c>
      <c r="EG67" s="97">
        <f t="shared" si="257"/>
        <v>0</v>
      </c>
      <c r="EH67" s="97">
        <f t="shared" si="257"/>
        <v>0</v>
      </c>
      <c r="EI67" s="97">
        <f t="shared" si="257"/>
        <v>91750</v>
      </c>
      <c r="EJ67" s="97">
        <f t="shared" si="257"/>
        <v>0</v>
      </c>
      <c r="EK67" s="97">
        <f>+EK68+EK70</f>
        <v>0</v>
      </c>
      <c r="EL67" s="97">
        <f t="shared" si="257"/>
        <v>0</v>
      </c>
      <c r="EM67" s="97">
        <f t="shared" si="257"/>
        <v>0</v>
      </c>
      <c r="EN67" s="97">
        <f t="shared" si="257"/>
        <v>0</v>
      </c>
      <c r="EO67" s="97">
        <f t="shared" si="257"/>
        <v>0</v>
      </c>
      <c r="EP67" s="97">
        <f t="shared" si="257"/>
        <v>0</v>
      </c>
      <c r="EQ67" s="97">
        <f t="shared" si="257"/>
        <v>4950.8</v>
      </c>
      <c r="ER67" s="97">
        <f t="shared" si="257"/>
        <v>0</v>
      </c>
      <c r="ES67" s="97">
        <f t="shared" si="257"/>
        <v>0</v>
      </c>
      <c r="ET67" s="97">
        <f t="shared" si="257"/>
        <v>1500</v>
      </c>
      <c r="EU67" s="97">
        <f t="shared" si="257"/>
        <v>0</v>
      </c>
      <c r="EV67" s="97">
        <f t="shared" si="257"/>
        <v>2200</v>
      </c>
      <c r="EW67" s="97">
        <f t="shared" ref="EW67:OV67" si="258">+EW68+EW70</f>
        <v>0</v>
      </c>
      <c r="EX67" s="97">
        <f t="shared" si="258"/>
        <v>0</v>
      </c>
      <c r="EY67" s="97">
        <f t="shared" si="258"/>
        <v>0</v>
      </c>
      <c r="EZ67" s="97">
        <f>+EZ68+EZ70</f>
        <v>0</v>
      </c>
      <c r="FA67" s="97">
        <f>+FA68+FA70</f>
        <v>0</v>
      </c>
      <c r="FB67" s="97">
        <f>+FB68+FB70</f>
        <v>0</v>
      </c>
      <c r="FC67" s="97">
        <f>+FC68+FC70</f>
        <v>180</v>
      </c>
      <c r="FD67" s="97">
        <f t="shared" si="258"/>
        <v>0</v>
      </c>
      <c r="FE67" s="97">
        <f t="shared" si="258"/>
        <v>0</v>
      </c>
      <c r="FF67" s="97">
        <f t="shared" ref="FF67:GR67" si="259">+FF68+FF70</f>
        <v>0</v>
      </c>
      <c r="FG67" s="97">
        <f t="shared" si="259"/>
        <v>0</v>
      </c>
      <c r="FH67" s="97">
        <f t="shared" si="259"/>
        <v>23909.3</v>
      </c>
      <c r="FI67" s="97">
        <f t="shared" si="259"/>
        <v>0</v>
      </c>
      <c r="FJ67" s="97">
        <f t="shared" si="259"/>
        <v>0</v>
      </c>
      <c r="FK67" s="97">
        <f t="shared" si="259"/>
        <v>125</v>
      </c>
      <c r="FL67" s="97">
        <f t="shared" si="259"/>
        <v>0</v>
      </c>
      <c r="FM67" s="97">
        <f t="shared" si="259"/>
        <v>3000</v>
      </c>
      <c r="FN67" s="97">
        <f t="shared" si="259"/>
        <v>0</v>
      </c>
      <c r="FO67" s="97">
        <f t="shared" si="259"/>
        <v>0</v>
      </c>
      <c r="FP67" s="97">
        <f t="shared" si="259"/>
        <v>0</v>
      </c>
      <c r="FQ67" s="97">
        <f t="shared" si="259"/>
        <v>0</v>
      </c>
      <c r="FR67" s="97">
        <f t="shared" si="259"/>
        <v>0</v>
      </c>
      <c r="FS67" s="97">
        <f t="shared" si="259"/>
        <v>300</v>
      </c>
      <c r="FT67" s="97">
        <f t="shared" si="259"/>
        <v>0</v>
      </c>
      <c r="FU67" s="97">
        <f t="shared" si="259"/>
        <v>0</v>
      </c>
      <c r="FV67" s="97">
        <f t="shared" si="259"/>
        <v>0</v>
      </c>
      <c r="FW67" s="97">
        <f t="shared" si="259"/>
        <v>0</v>
      </c>
      <c r="FX67" s="97">
        <f t="shared" si="259"/>
        <v>0</v>
      </c>
      <c r="FY67" s="97">
        <f t="shared" si="259"/>
        <v>0</v>
      </c>
      <c r="FZ67" s="97">
        <f t="shared" si="259"/>
        <v>0</v>
      </c>
      <c r="GA67" s="97">
        <f t="shared" si="259"/>
        <v>0</v>
      </c>
      <c r="GB67" s="97">
        <f t="shared" si="259"/>
        <v>0</v>
      </c>
      <c r="GC67" s="97">
        <f t="shared" si="259"/>
        <v>0</v>
      </c>
      <c r="GD67" s="97">
        <f t="shared" si="259"/>
        <v>0</v>
      </c>
      <c r="GE67" s="97">
        <f t="shared" si="259"/>
        <v>0</v>
      </c>
      <c r="GF67" s="97">
        <f t="shared" si="259"/>
        <v>0</v>
      </c>
      <c r="GG67" s="97">
        <f t="shared" si="259"/>
        <v>0</v>
      </c>
      <c r="GH67" s="97">
        <f t="shared" si="259"/>
        <v>2000</v>
      </c>
      <c r="GI67" s="97">
        <f t="shared" si="259"/>
        <v>0</v>
      </c>
      <c r="GJ67" s="97">
        <f t="shared" si="259"/>
        <v>0</v>
      </c>
      <c r="GK67" s="97">
        <f t="shared" si="259"/>
        <v>0</v>
      </c>
      <c r="GL67" s="97">
        <f t="shared" si="259"/>
        <v>0</v>
      </c>
      <c r="GM67" s="97">
        <f t="shared" si="259"/>
        <v>0</v>
      </c>
      <c r="GN67" s="97">
        <f t="shared" si="259"/>
        <v>0</v>
      </c>
      <c r="GO67" s="97">
        <f t="shared" si="259"/>
        <v>0</v>
      </c>
      <c r="GP67" s="97">
        <f t="shared" si="259"/>
        <v>0</v>
      </c>
      <c r="GQ67" s="97">
        <f t="shared" si="259"/>
        <v>0</v>
      </c>
      <c r="GR67" s="97">
        <f t="shared" si="259"/>
        <v>0</v>
      </c>
      <c r="GS67" s="97">
        <f t="shared" si="258"/>
        <v>0</v>
      </c>
      <c r="GT67" s="97">
        <f t="shared" ref="GT67:HG67" si="260">+GT68+GT70</f>
        <v>0</v>
      </c>
      <c r="GU67" s="97">
        <f t="shared" si="260"/>
        <v>0</v>
      </c>
      <c r="GV67" s="97">
        <f t="shared" si="260"/>
        <v>0</v>
      </c>
      <c r="GW67" s="97">
        <f t="shared" si="260"/>
        <v>0</v>
      </c>
      <c r="GX67" s="97">
        <f t="shared" si="260"/>
        <v>0</v>
      </c>
      <c r="GY67" s="97">
        <f t="shared" si="260"/>
        <v>0</v>
      </c>
      <c r="GZ67" s="97">
        <f t="shared" si="260"/>
        <v>0</v>
      </c>
      <c r="HA67" s="97">
        <f t="shared" si="260"/>
        <v>150</v>
      </c>
      <c r="HB67" s="97">
        <f t="shared" si="260"/>
        <v>0</v>
      </c>
      <c r="HC67" s="97">
        <f t="shared" si="260"/>
        <v>0</v>
      </c>
      <c r="HD67" s="97">
        <f t="shared" si="260"/>
        <v>0</v>
      </c>
      <c r="HE67" s="97">
        <f t="shared" si="260"/>
        <v>2500</v>
      </c>
      <c r="HF67" s="97">
        <f t="shared" si="260"/>
        <v>0</v>
      </c>
      <c r="HG67" s="97">
        <f t="shared" si="260"/>
        <v>0</v>
      </c>
      <c r="HH67" s="97">
        <f t="shared" si="258"/>
        <v>0</v>
      </c>
      <c r="HI67" s="97">
        <f t="shared" ref="HI67:IN67" si="261">+HI68+HI70</f>
        <v>12250</v>
      </c>
      <c r="HJ67" s="97">
        <f t="shared" si="261"/>
        <v>0</v>
      </c>
      <c r="HK67" s="97">
        <f t="shared" si="261"/>
        <v>0</v>
      </c>
      <c r="HL67" s="97">
        <f t="shared" si="261"/>
        <v>0</v>
      </c>
      <c r="HM67" s="97">
        <f t="shared" si="261"/>
        <v>0</v>
      </c>
      <c r="HN67" s="97">
        <f t="shared" si="261"/>
        <v>0</v>
      </c>
      <c r="HO67" s="97">
        <f t="shared" si="261"/>
        <v>0</v>
      </c>
      <c r="HP67" s="97">
        <f t="shared" si="261"/>
        <v>0</v>
      </c>
      <c r="HQ67" s="97">
        <f t="shared" si="261"/>
        <v>0</v>
      </c>
      <c r="HR67" s="97">
        <f t="shared" si="261"/>
        <v>0</v>
      </c>
      <c r="HS67" s="97">
        <f t="shared" si="261"/>
        <v>0</v>
      </c>
      <c r="HT67" s="97">
        <f t="shared" si="261"/>
        <v>0</v>
      </c>
      <c r="HU67" s="97">
        <f t="shared" si="261"/>
        <v>0</v>
      </c>
      <c r="HV67" s="97">
        <f t="shared" si="261"/>
        <v>0</v>
      </c>
      <c r="HW67" s="97">
        <f t="shared" si="261"/>
        <v>0</v>
      </c>
      <c r="HX67" s="97">
        <f t="shared" si="261"/>
        <v>0</v>
      </c>
      <c r="HY67" s="97">
        <f t="shared" si="261"/>
        <v>0</v>
      </c>
      <c r="HZ67" s="97">
        <f t="shared" si="261"/>
        <v>0</v>
      </c>
      <c r="IA67" s="97">
        <f t="shared" si="261"/>
        <v>0</v>
      </c>
      <c r="IB67" s="97">
        <f t="shared" si="261"/>
        <v>0</v>
      </c>
      <c r="IC67" s="97">
        <f t="shared" si="261"/>
        <v>0</v>
      </c>
      <c r="ID67" s="97">
        <f t="shared" si="261"/>
        <v>18298</v>
      </c>
      <c r="IE67" s="97">
        <f t="shared" si="261"/>
        <v>0</v>
      </c>
      <c r="IF67" s="97">
        <f t="shared" si="261"/>
        <v>0</v>
      </c>
      <c r="IG67" s="97">
        <f t="shared" si="261"/>
        <v>0</v>
      </c>
      <c r="IH67" s="97">
        <f t="shared" si="261"/>
        <v>0</v>
      </c>
      <c r="II67" s="97">
        <f t="shared" si="261"/>
        <v>0</v>
      </c>
      <c r="IJ67" s="97">
        <f t="shared" si="261"/>
        <v>38650</v>
      </c>
      <c r="IK67" s="97">
        <f t="shared" si="261"/>
        <v>0</v>
      </c>
      <c r="IL67" s="97">
        <f t="shared" si="261"/>
        <v>0</v>
      </c>
      <c r="IM67" s="97">
        <f t="shared" si="261"/>
        <v>25780</v>
      </c>
      <c r="IN67" s="97">
        <f t="shared" si="261"/>
        <v>0</v>
      </c>
      <c r="IO67" s="97">
        <f t="shared" ref="IO67:JT67" si="262">+IO68+IO70</f>
        <v>0</v>
      </c>
      <c r="IP67" s="97">
        <f t="shared" si="262"/>
        <v>0</v>
      </c>
      <c r="IQ67" s="97">
        <f t="shared" si="262"/>
        <v>0</v>
      </c>
      <c r="IR67" s="97">
        <f t="shared" si="262"/>
        <v>0</v>
      </c>
      <c r="IS67" s="97">
        <f t="shared" si="262"/>
        <v>0</v>
      </c>
      <c r="IT67" s="97">
        <f t="shared" si="262"/>
        <v>700</v>
      </c>
      <c r="IU67" s="97">
        <f t="shared" si="262"/>
        <v>0</v>
      </c>
      <c r="IV67" s="97">
        <f t="shared" si="262"/>
        <v>0</v>
      </c>
      <c r="IW67" s="97">
        <f t="shared" si="262"/>
        <v>0</v>
      </c>
      <c r="IX67" s="97">
        <f t="shared" si="262"/>
        <v>0</v>
      </c>
      <c r="IY67" s="97">
        <f t="shared" si="262"/>
        <v>0</v>
      </c>
      <c r="IZ67" s="97">
        <f t="shared" si="262"/>
        <v>0</v>
      </c>
      <c r="JA67" s="97">
        <f t="shared" si="262"/>
        <v>0</v>
      </c>
      <c r="JB67" s="97">
        <f t="shared" si="262"/>
        <v>0</v>
      </c>
      <c r="JC67" s="97">
        <f t="shared" si="262"/>
        <v>0</v>
      </c>
      <c r="JD67" s="97">
        <f t="shared" si="262"/>
        <v>0</v>
      </c>
      <c r="JE67" s="97">
        <f t="shared" si="262"/>
        <v>0</v>
      </c>
      <c r="JF67" s="97">
        <f t="shared" si="262"/>
        <v>0</v>
      </c>
      <c r="JG67" s="97">
        <f t="shared" si="262"/>
        <v>0</v>
      </c>
      <c r="JH67" s="97">
        <f t="shared" si="262"/>
        <v>0</v>
      </c>
      <c r="JI67" s="97">
        <f t="shared" si="262"/>
        <v>45</v>
      </c>
      <c r="JJ67" s="97">
        <f t="shared" si="262"/>
        <v>0</v>
      </c>
      <c r="JK67" s="97">
        <f t="shared" si="262"/>
        <v>1099.5999999999999</v>
      </c>
      <c r="JL67" s="97">
        <f t="shared" si="262"/>
        <v>0</v>
      </c>
      <c r="JM67" s="97">
        <f t="shared" si="262"/>
        <v>2000</v>
      </c>
      <c r="JN67" s="97">
        <f t="shared" si="262"/>
        <v>0</v>
      </c>
      <c r="JO67" s="97">
        <f t="shared" si="262"/>
        <v>0</v>
      </c>
      <c r="JP67" s="97">
        <f t="shared" si="262"/>
        <v>0</v>
      </c>
      <c r="JQ67" s="97">
        <f t="shared" si="262"/>
        <v>0</v>
      </c>
      <c r="JR67" s="97">
        <f t="shared" si="262"/>
        <v>0</v>
      </c>
      <c r="JS67" s="97">
        <f t="shared" si="262"/>
        <v>0</v>
      </c>
      <c r="JT67" s="97">
        <f t="shared" si="262"/>
        <v>0</v>
      </c>
      <c r="JU67" s="97">
        <f t="shared" ref="JU67:KZ67" si="263">+JU68+JU70</f>
        <v>0</v>
      </c>
      <c r="JV67" s="97">
        <f t="shared" si="263"/>
        <v>0</v>
      </c>
      <c r="JW67" s="97">
        <f t="shared" si="263"/>
        <v>3000</v>
      </c>
      <c r="JX67" s="97">
        <f t="shared" si="263"/>
        <v>0</v>
      </c>
      <c r="JY67" s="97">
        <f t="shared" si="263"/>
        <v>0</v>
      </c>
      <c r="JZ67" s="97">
        <f t="shared" si="263"/>
        <v>15000</v>
      </c>
      <c r="KA67" s="97">
        <f t="shared" si="263"/>
        <v>6035.1</v>
      </c>
      <c r="KB67" s="97">
        <f t="shared" si="263"/>
        <v>0</v>
      </c>
      <c r="KC67" s="97">
        <f t="shared" si="263"/>
        <v>0</v>
      </c>
      <c r="KD67" s="97">
        <f t="shared" si="263"/>
        <v>0</v>
      </c>
      <c r="KE67" s="97">
        <f t="shared" si="263"/>
        <v>0</v>
      </c>
      <c r="KF67" s="97">
        <f t="shared" si="263"/>
        <v>0</v>
      </c>
      <c r="KG67" s="97">
        <f t="shared" si="263"/>
        <v>0</v>
      </c>
      <c r="KH67" s="97">
        <f t="shared" si="263"/>
        <v>0</v>
      </c>
      <c r="KI67" s="97">
        <f t="shared" si="263"/>
        <v>0</v>
      </c>
      <c r="KJ67" s="97">
        <f t="shared" si="263"/>
        <v>842245.6</v>
      </c>
      <c r="KK67" s="97">
        <f t="shared" si="263"/>
        <v>0</v>
      </c>
      <c r="KL67" s="97">
        <f t="shared" si="263"/>
        <v>0</v>
      </c>
      <c r="KM67" s="97">
        <f t="shared" si="263"/>
        <v>0</v>
      </c>
      <c r="KN67" s="97">
        <f t="shared" si="263"/>
        <v>0</v>
      </c>
      <c r="KO67" s="97">
        <f t="shared" si="263"/>
        <v>0</v>
      </c>
      <c r="KP67" s="97">
        <f t="shared" si="263"/>
        <v>0</v>
      </c>
      <c r="KQ67" s="97">
        <f t="shared" si="263"/>
        <v>0</v>
      </c>
      <c r="KR67" s="97">
        <f t="shared" si="263"/>
        <v>45115</v>
      </c>
      <c r="KS67" s="97">
        <f t="shared" si="263"/>
        <v>0</v>
      </c>
      <c r="KT67" s="97">
        <f t="shared" si="263"/>
        <v>0</v>
      </c>
      <c r="KU67" s="97">
        <f t="shared" si="263"/>
        <v>0</v>
      </c>
      <c r="KV67" s="97">
        <f t="shared" si="263"/>
        <v>0</v>
      </c>
      <c r="KW67" s="97">
        <f t="shared" si="263"/>
        <v>0</v>
      </c>
      <c r="KX67" s="97">
        <f t="shared" si="263"/>
        <v>42300</v>
      </c>
      <c r="KY67" s="97">
        <f t="shared" si="263"/>
        <v>0</v>
      </c>
      <c r="KZ67" s="97">
        <f t="shared" si="263"/>
        <v>0</v>
      </c>
      <c r="LA67" s="97">
        <f t="shared" ref="LA67:OT67" si="264">+LA68+LA70</f>
        <v>0</v>
      </c>
      <c r="LB67" s="97">
        <f t="shared" si="264"/>
        <v>1000</v>
      </c>
      <c r="LC67" s="97">
        <f t="shared" ref="LC67:LJ67" si="265">+LC68+LC70</f>
        <v>0</v>
      </c>
      <c r="LD67" s="97">
        <f t="shared" si="265"/>
        <v>0</v>
      </c>
      <c r="LE67" s="97">
        <f t="shared" si="265"/>
        <v>0</v>
      </c>
      <c r="LF67" s="97">
        <f t="shared" si="265"/>
        <v>0</v>
      </c>
      <c r="LG67" s="97">
        <f t="shared" si="265"/>
        <v>0</v>
      </c>
      <c r="LH67" s="97">
        <f t="shared" si="265"/>
        <v>0</v>
      </c>
      <c r="LI67" s="97">
        <f t="shared" si="265"/>
        <v>0</v>
      </c>
      <c r="LJ67" s="97">
        <f t="shared" si="265"/>
        <v>0</v>
      </c>
      <c r="LK67" s="97">
        <f t="shared" ref="LK67:LQ67" si="266">+LK68+LK70</f>
        <v>0</v>
      </c>
      <c r="LL67" s="97">
        <f t="shared" si="266"/>
        <v>0</v>
      </c>
      <c r="LM67" s="97">
        <f>+LM68+LM70</f>
        <v>0</v>
      </c>
      <c r="LN67" s="97">
        <f>+LN68+LN70</f>
        <v>0</v>
      </c>
      <c r="LO67" s="97">
        <f t="shared" si="266"/>
        <v>0</v>
      </c>
      <c r="LP67" s="97">
        <f t="shared" si="266"/>
        <v>33500</v>
      </c>
      <c r="LQ67" s="97">
        <f t="shared" si="266"/>
        <v>900</v>
      </c>
      <c r="LR67" s="97">
        <f t="shared" ref="LR67:MW67" si="267">+LR68+LR70</f>
        <v>0</v>
      </c>
      <c r="LS67" s="97">
        <f t="shared" si="267"/>
        <v>0</v>
      </c>
      <c r="LT67" s="97">
        <f t="shared" si="267"/>
        <v>25180.9</v>
      </c>
      <c r="LU67" s="97">
        <f t="shared" si="267"/>
        <v>300</v>
      </c>
      <c r="LV67" s="97">
        <f t="shared" si="267"/>
        <v>87150</v>
      </c>
      <c r="LW67" s="97">
        <f t="shared" si="267"/>
        <v>0</v>
      </c>
      <c r="LX67" s="97">
        <f t="shared" si="267"/>
        <v>5500</v>
      </c>
      <c r="LY67" s="97">
        <f t="shared" si="267"/>
        <v>0</v>
      </c>
      <c r="LZ67" s="97">
        <f t="shared" si="267"/>
        <v>0</v>
      </c>
      <c r="MA67" s="97">
        <f t="shared" si="267"/>
        <v>0</v>
      </c>
      <c r="MB67" s="97">
        <f t="shared" si="267"/>
        <v>0</v>
      </c>
      <c r="MC67" s="97">
        <f t="shared" si="267"/>
        <v>0</v>
      </c>
      <c r="MD67" s="97">
        <f t="shared" si="267"/>
        <v>900</v>
      </c>
      <c r="ME67" s="97">
        <f t="shared" si="267"/>
        <v>0</v>
      </c>
      <c r="MF67" s="97">
        <f t="shared" si="267"/>
        <v>1300</v>
      </c>
      <c r="MG67" s="97">
        <f t="shared" si="267"/>
        <v>0</v>
      </c>
      <c r="MH67" s="97">
        <f t="shared" si="267"/>
        <v>500</v>
      </c>
      <c r="MI67" s="97">
        <f t="shared" si="267"/>
        <v>0</v>
      </c>
      <c r="MJ67" s="97">
        <f t="shared" si="267"/>
        <v>1200</v>
      </c>
      <c r="MK67" s="97">
        <f t="shared" si="267"/>
        <v>0</v>
      </c>
      <c r="ML67" s="97">
        <f t="shared" si="267"/>
        <v>0</v>
      </c>
      <c r="MM67" s="97">
        <f t="shared" si="267"/>
        <v>5000</v>
      </c>
      <c r="MN67" s="97">
        <f t="shared" si="267"/>
        <v>750</v>
      </c>
      <c r="MO67" s="97">
        <f t="shared" si="267"/>
        <v>0</v>
      </c>
      <c r="MP67" s="97">
        <f t="shared" si="267"/>
        <v>0</v>
      </c>
      <c r="MQ67" s="97">
        <f t="shared" si="267"/>
        <v>0</v>
      </c>
      <c r="MR67" s="97">
        <f t="shared" si="267"/>
        <v>0</v>
      </c>
      <c r="MS67" s="97">
        <f t="shared" si="267"/>
        <v>3620</v>
      </c>
      <c r="MT67" s="97">
        <f t="shared" si="267"/>
        <v>0</v>
      </c>
      <c r="MU67" s="97">
        <f t="shared" si="267"/>
        <v>0</v>
      </c>
      <c r="MV67" s="97">
        <f t="shared" si="267"/>
        <v>0</v>
      </c>
      <c r="MW67" s="97">
        <f t="shared" si="267"/>
        <v>575</v>
      </c>
      <c r="MX67" s="97">
        <f t="shared" ref="MX67:OC67" si="268">+MX68+MX70</f>
        <v>18243.099999999999</v>
      </c>
      <c r="MY67" s="97">
        <f t="shared" si="268"/>
        <v>0</v>
      </c>
      <c r="MZ67" s="97">
        <f t="shared" si="268"/>
        <v>500</v>
      </c>
      <c r="NA67" s="97">
        <f t="shared" si="268"/>
        <v>0</v>
      </c>
      <c r="NB67" s="97">
        <f t="shared" si="268"/>
        <v>1000</v>
      </c>
      <c r="NC67" s="97">
        <f t="shared" si="268"/>
        <v>0</v>
      </c>
      <c r="ND67" s="97">
        <f t="shared" si="268"/>
        <v>0</v>
      </c>
      <c r="NE67" s="97">
        <f t="shared" si="268"/>
        <v>0</v>
      </c>
      <c r="NF67" s="97">
        <f t="shared" si="268"/>
        <v>0</v>
      </c>
      <c r="NG67" s="97">
        <f t="shared" si="268"/>
        <v>0</v>
      </c>
      <c r="NH67" s="97">
        <f t="shared" si="268"/>
        <v>0</v>
      </c>
      <c r="NI67" s="97">
        <f t="shared" si="268"/>
        <v>0</v>
      </c>
      <c r="NJ67" s="97">
        <f t="shared" si="268"/>
        <v>0</v>
      </c>
      <c r="NK67" s="97">
        <f t="shared" si="268"/>
        <v>0</v>
      </c>
      <c r="NL67" s="97">
        <f t="shared" si="268"/>
        <v>0</v>
      </c>
      <c r="NM67" s="97">
        <f t="shared" si="268"/>
        <v>13481.5</v>
      </c>
      <c r="NN67" s="97">
        <f t="shared" si="268"/>
        <v>1500</v>
      </c>
      <c r="NO67" s="97">
        <f t="shared" si="268"/>
        <v>0</v>
      </c>
      <c r="NP67" s="97">
        <f t="shared" si="268"/>
        <v>3000</v>
      </c>
      <c r="NQ67" s="97">
        <f t="shared" si="268"/>
        <v>0</v>
      </c>
      <c r="NR67" s="97">
        <f t="shared" si="268"/>
        <v>0</v>
      </c>
      <c r="NS67" s="97">
        <f t="shared" si="268"/>
        <v>0</v>
      </c>
      <c r="NT67" s="97">
        <f t="shared" si="268"/>
        <v>0</v>
      </c>
      <c r="NU67" s="97">
        <f t="shared" si="268"/>
        <v>0</v>
      </c>
      <c r="NV67" s="97">
        <f t="shared" si="268"/>
        <v>0</v>
      </c>
      <c r="NW67" s="97">
        <f t="shared" si="268"/>
        <v>0</v>
      </c>
      <c r="NX67" s="97">
        <f t="shared" si="268"/>
        <v>350</v>
      </c>
      <c r="NY67" s="97">
        <f t="shared" si="268"/>
        <v>0</v>
      </c>
      <c r="NZ67" s="97">
        <f t="shared" si="268"/>
        <v>0</v>
      </c>
      <c r="OA67" s="97">
        <f t="shared" si="268"/>
        <v>15000</v>
      </c>
      <c r="OB67" s="97">
        <f t="shared" si="268"/>
        <v>0</v>
      </c>
      <c r="OC67" s="97">
        <f t="shared" si="268"/>
        <v>1118</v>
      </c>
      <c r="OD67" s="97">
        <f t="shared" ref="OD67:OG67" si="269">+OD68+OD70</f>
        <v>0</v>
      </c>
      <c r="OE67" s="97">
        <f t="shared" si="269"/>
        <v>0</v>
      </c>
      <c r="OF67" s="97">
        <f t="shared" si="269"/>
        <v>8100</v>
      </c>
      <c r="OG67" s="97">
        <f t="shared" si="269"/>
        <v>0</v>
      </c>
      <c r="OH67" s="97">
        <f t="shared" si="264"/>
        <v>0</v>
      </c>
      <c r="OI67" s="97">
        <f t="shared" si="264"/>
        <v>0</v>
      </c>
      <c r="OJ67" s="97">
        <f>+OJ68+OJ70</f>
        <v>0</v>
      </c>
      <c r="OK67" s="97">
        <f>+OK68+OK70</f>
        <v>0</v>
      </c>
      <c r="OL67" s="97">
        <f t="shared" si="264"/>
        <v>1777.9</v>
      </c>
      <c r="OM67" s="97">
        <f t="shared" si="264"/>
        <v>0</v>
      </c>
      <c r="ON67" s="97">
        <f>+ON68+ON70</f>
        <v>0</v>
      </c>
      <c r="OO67" s="97">
        <f t="shared" si="264"/>
        <v>0</v>
      </c>
      <c r="OP67" s="97">
        <f t="shared" si="264"/>
        <v>0</v>
      </c>
      <c r="OQ67" s="97">
        <f t="shared" si="264"/>
        <v>0</v>
      </c>
      <c r="OR67" s="97">
        <f t="shared" si="264"/>
        <v>0</v>
      </c>
      <c r="OS67" s="97">
        <f t="shared" si="264"/>
        <v>4176.8999999999996</v>
      </c>
      <c r="OT67" s="97">
        <f t="shared" si="264"/>
        <v>14000</v>
      </c>
      <c r="OU67" s="97">
        <f t="shared" si="258"/>
        <v>0</v>
      </c>
      <c r="OV67" s="97">
        <f t="shared" si="258"/>
        <v>0</v>
      </c>
      <c r="OW67" s="97">
        <f t="shared" ref="OW67:PH67" si="270">+OW68+OW70</f>
        <v>0</v>
      </c>
      <c r="OX67" s="97">
        <f t="shared" si="270"/>
        <v>1000</v>
      </c>
      <c r="OY67" s="97">
        <f t="shared" si="270"/>
        <v>0</v>
      </c>
      <c r="OZ67" s="97">
        <f t="shared" si="270"/>
        <v>6000</v>
      </c>
      <c r="PA67" s="97">
        <f t="shared" si="270"/>
        <v>0</v>
      </c>
      <c r="PB67" s="97">
        <f>+PB68+PB70</f>
        <v>2702.5</v>
      </c>
      <c r="PC67" s="97">
        <f t="shared" si="270"/>
        <v>0</v>
      </c>
      <c r="PD67" s="97">
        <f>+PD68+PD70</f>
        <v>0</v>
      </c>
      <c r="PE67" s="97">
        <f t="shared" si="270"/>
        <v>0</v>
      </c>
      <c r="PF67" s="97">
        <f t="shared" si="270"/>
        <v>0</v>
      </c>
      <c r="PG67" s="97">
        <f t="shared" si="270"/>
        <v>0</v>
      </c>
      <c r="PH67" s="97">
        <f t="shared" si="270"/>
        <v>0</v>
      </c>
      <c r="PI67" s="97">
        <f>+PI68+PI70</f>
        <v>400</v>
      </c>
      <c r="PJ67" s="97">
        <f t="shared" ref="PJ67:QC67" si="271">+PJ68+PJ70</f>
        <v>9614.5</v>
      </c>
      <c r="PK67" s="97">
        <f t="shared" si="271"/>
        <v>0</v>
      </c>
      <c r="PL67" s="97">
        <f t="shared" si="271"/>
        <v>0</v>
      </c>
      <c r="PM67" s="97">
        <f t="shared" si="271"/>
        <v>0</v>
      </c>
      <c r="PN67" s="97">
        <f t="shared" ref="PN67:PS67" si="272">+PN68+PN70</f>
        <v>0</v>
      </c>
      <c r="PO67" s="97">
        <f t="shared" si="272"/>
        <v>0</v>
      </c>
      <c r="PP67" s="97">
        <f t="shared" si="272"/>
        <v>0</v>
      </c>
      <c r="PQ67" s="97">
        <f t="shared" si="272"/>
        <v>0</v>
      </c>
      <c r="PR67" s="97">
        <f t="shared" si="272"/>
        <v>0</v>
      </c>
      <c r="PS67" s="97">
        <f t="shared" si="272"/>
        <v>260</v>
      </c>
      <c r="PT67" s="97">
        <f t="shared" si="271"/>
        <v>0</v>
      </c>
      <c r="PU67" s="97">
        <f>+PU68+PU70</f>
        <v>0</v>
      </c>
      <c r="PV67" s="97">
        <f t="shared" si="271"/>
        <v>0</v>
      </c>
      <c r="PW67" s="97">
        <f>+PW68+PW70</f>
        <v>9100</v>
      </c>
      <c r="PX67" s="97">
        <f>+PX68+PX70</f>
        <v>0</v>
      </c>
      <c r="PY67" s="97">
        <f>+PY68+PY70</f>
        <v>0</v>
      </c>
      <c r="PZ67" s="97">
        <f>+PZ68+PZ70</f>
        <v>0</v>
      </c>
      <c r="QA67" s="97">
        <f>+QA68+QA70</f>
        <v>0</v>
      </c>
      <c r="QB67" s="97">
        <f t="shared" si="271"/>
        <v>0</v>
      </c>
      <c r="QC67" s="97">
        <f t="shared" si="271"/>
        <v>300</v>
      </c>
      <c r="QD67" s="97">
        <f>+QD68+QD70</f>
        <v>1600</v>
      </c>
      <c r="QE67" s="97">
        <f t="shared" ref="QE67:QJ67" si="273">+QE68+QE70</f>
        <v>0</v>
      </c>
      <c r="QF67" s="97">
        <f t="shared" si="273"/>
        <v>0</v>
      </c>
      <c r="QG67" s="97">
        <f t="shared" si="273"/>
        <v>0</v>
      </c>
      <c r="QH67" s="97">
        <f t="shared" si="273"/>
        <v>0</v>
      </c>
      <c r="QI67" s="97">
        <f t="shared" si="273"/>
        <v>0</v>
      </c>
      <c r="QJ67" s="97">
        <f t="shared" si="273"/>
        <v>38800</v>
      </c>
      <c r="QK67" s="97">
        <f>+QK68+QK70</f>
        <v>0</v>
      </c>
      <c r="QL67" s="97">
        <f t="shared" ref="QL67:QM67" si="274">+QL68+QL70</f>
        <v>9000</v>
      </c>
      <c r="QM67" s="97">
        <f t="shared" si="274"/>
        <v>9200</v>
      </c>
      <c r="QN67" s="97">
        <f>+QN68+QN70</f>
        <v>0</v>
      </c>
      <c r="QO67" s="97">
        <f>+QO68+QO70</f>
        <v>0</v>
      </c>
      <c r="QP67" s="97">
        <f t="shared" ref="QP67" si="275">+QP68+QP70</f>
        <v>3000</v>
      </c>
      <c r="QQ67" s="97">
        <f>+QQ68+QQ70</f>
        <v>0</v>
      </c>
      <c r="QR67" s="97">
        <f>+QR68+QR70</f>
        <v>0</v>
      </c>
      <c r="QS67" s="97">
        <f t="shared" ref="QS67:RM67" si="276">+QS68+QS70</f>
        <v>0</v>
      </c>
      <c r="QT67" s="97">
        <f>+QT68+QT70</f>
        <v>0</v>
      </c>
      <c r="QU67" s="97">
        <f>+QU68+QU70</f>
        <v>0</v>
      </c>
      <c r="QV67" s="97">
        <f t="shared" si="276"/>
        <v>0</v>
      </c>
      <c r="QW67" s="97">
        <f t="shared" si="276"/>
        <v>1650</v>
      </c>
      <c r="QX67" s="97">
        <f t="shared" si="276"/>
        <v>0</v>
      </c>
      <c r="QY67" s="97">
        <f t="shared" si="276"/>
        <v>2700</v>
      </c>
      <c r="QZ67" s="97">
        <f t="shared" si="276"/>
        <v>0</v>
      </c>
      <c r="RA67" s="97">
        <f t="shared" si="276"/>
        <v>0</v>
      </c>
      <c r="RB67" s="97">
        <f t="shared" si="276"/>
        <v>0</v>
      </c>
      <c r="RC67" s="97">
        <f t="shared" si="276"/>
        <v>0</v>
      </c>
      <c r="RD67" s="97">
        <f t="shared" si="276"/>
        <v>0</v>
      </c>
      <c r="RE67" s="97">
        <f>+RE68+RE70</f>
        <v>0</v>
      </c>
      <c r="RF67" s="97">
        <f t="shared" si="276"/>
        <v>0</v>
      </c>
      <c r="RG67" s="97">
        <f t="shared" si="276"/>
        <v>0</v>
      </c>
      <c r="RH67" s="97">
        <f t="shared" si="276"/>
        <v>0</v>
      </c>
      <c r="RI67" s="97">
        <f t="shared" si="276"/>
        <v>0</v>
      </c>
      <c r="RJ67" s="97">
        <f>+RJ68+RJ70</f>
        <v>0</v>
      </c>
      <c r="RK67" s="97">
        <f t="shared" si="276"/>
        <v>0</v>
      </c>
      <c r="RL67" s="97">
        <f t="shared" si="276"/>
        <v>0</v>
      </c>
      <c r="RM67" s="97">
        <f t="shared" si="276"/>
        <v>0</v>
      </c>
      <c r="RN67" s="97">
        <f>+RN68+RN70</f>
        <v>0</v>
      </c>
    </row>
    <row r="68" spans="1:482" s="60" customFormat="1" ht="11.25" x14ac:dyDescent="0.2">
      <c r="A68" s="126" t="s">
        <v>881</v>
      </c>
      <c r="B68" s="163"/>
      <c r="C68" s="163"/>
      <c r="D68" s="156">
        <f>SUM(E69:RR69)</f>
        <v>758886.8</v>
      </c>
      <c r="E68" s="142">
        <f t="shared" ref="E68:AJ68" si="277">E69</f>
        <v>0</v>
      </c>
      <c r="F68" s="142">
        <f t="shared" si="277"/>
        <v>0</v>
      </c>
      <c r="G68" s="142">
        <f t="shared" si="277"/>
        <v>835</v>
      </c>
      <c r="H68" s="142">
        <f t="shared" si="277"/>
        <v>0</v>
      </c>
      <c r="I68" s="142">
        <f t="shared" si="277"/>
        <v>2000</v>
      </c>
      <c r="J68" s="142">
        <f t="shared" si="277"/>
        <v>34114</v>
      </c>
      <c r="K68" s="142">
        <f t="shared" si="277"/>
        <v>0</v>
      </c>
      <c r="L68" s="142">
        <f t="shared" si="277"/>
        <v>0</v>
      </c>
      <c r="M68" s="142">
        <f t="shared" si="277"/>
        <v>0</v>
      </c>
      <c r="N68" s="142">
        <f t="shared" si="277"/>
        <v>0</v>
      </c>
      <c r="O68" s="142">
        <f t="shared" si="277"/>
        <v>0</v>
      </c>
      <c r="P68" s="142">
        <f t="shared" si="277"/>
        <v>0</v>
      </c>
      <c r="Q68" s="142">
        <f t="shared" si="277"/>
        <v>0</v>
      </c>
      <c r="R68" s="142">
        <f t="shared" si="277"/>
        <v>0</v>
      </c>
      <c r="S68" s="142">
        <f t="shared" si="277"/>
        <v>1200</v>
      </c>
      <c r="T68" s="142">
        <f t="shared" si="277"/>
        <v>0</v>
      </c>
      <c r="U68" s="142">
        <f t="shared" si="277"/>
        <v>0</v>
      </c>
      <c r="V68" s="142">
        <f t="shared" si="277"/>
        <v>0</v>
      </c>
      <c r="W68" s="142">
        <f t="shared" si="277"/>
        <v>0</v>
      </c>
      <c r="X68" s="142">
        <f t="shared" si="277"/>
        <v>0</v>
      </c>
      <c r="Y68" s="142">
        <f t="shared" si="277"/>
        <v>3602.5</v>
      </c>
      <c r="Z68" s="142">
        <f t="shared" si="277"/>
        <v>4769.3</v>
      </c>
      <c r="AA68" s="142">
        <f t="shared" si="277"/>
        <v>0</v>
      </c>
      <c r="AB68" s="142">
        <f t="shared" si="277"/>
        <v>0</v>
      </c>
      <c r="AC68" s="142">
        <f t="shared" si="277"/>
        <v>0</v>
      </c>
      <c r="AD68" s="142">
        <f t="shared" si="277"/>
        <v>0</v>
      </c>
      <c r="AE68" s="142">
        <f t="shared" si="277"/>
        <v>0</v>
      </c>
      <c r="AF68" s="142">
        <f t="shared" si="277"/>
        <v>100000</v>
      </c>
      <c r="AG68" s="142">
        <f t="shared" si="277"/>
        <v>0</v>
      </c>
      <c r="AH68" s="142">
        <f t="shared" si="277"/>
        <v>0</v>
      </c>
      <c r="AI68" s="142">
        <f t="shared" si="277"/>
        <v>1260</v>
      </c>
      <c r="AJ68" s="142">
        <f t="shared" si="277"/>
        <v>44700</v>
      </c>
      <c r="AK68" s="142">
        <f t="shared" ref="AK68:BJ68" si="278">AK69</f>
        <v>2220</v>
      </c>
      <c r="AL68" s="142">
        <f t="shared" si="278"/>
        <v>0</v>
      </c>
      <c r="AM68" s="142">
        <f t="shared" si="278"/>
        <v>0</v>
      </c>
      <c r="AN68" s="142">
        <f t="shared" si="278"/>
        <v>0</v>
      </c>
      <c r="AO68" s="142">
        <f t="shared" si="278"/>
        <v>0</v>
      </c>
      <c r="AP68" s="142">
        <f t="shared" si="278"/>
        <v>3517.5</v>
      </c>
      <c r="AQ68" s="142">
        <f t="shared" si="278"/>
        <v>0</v>
      </c>
      <c r="AR68" s="142">
        <f t="shared" si="278"/>
        <v>0</v>
      </c>
      <c r="AS68" s="142">
        <f t="shared" si="278"/>
        <v>0</v>
      </c>
      <c r="AT68" s="142">
        <f t="shared" si="278"/>
        <v>6880</v>
      </c>
      <c r="AU68" s="142">
        <f t="shared" si="278"/>
        <v>0</v>
      </c>
      <c r="AV68" s="142">
        <f t="shared" si="278"/>
        <v>0</v>
      </c>
      <c r="AW68" s="142">
        <f t="shared" si="278"/>
        <v>0</v>
      </c>
      <c r="AX68" s="142">
        <f t="shared" si="278"/>
        <v>0</v>
      </c>
      <c r="AY68" s="142">
        <f t="shared" si="278"/>
        <v>0</v>
      </c>
      <c r="AZ68" s="142">
        <f t="shared" si="278"/>
        <v>0</v>
      </c>
      <c r="BA68" s="142">
        <f t="shared" si="278"/>
        <v>43881.5</v>
      </c>
      <c r="BB68" s="142">
        <f t="shared" si="278"/>
        <v>0</v>
      </c>
      <c r="BC68" s="142">
        <f t="shared" si="278"/>
        <v>0</v>
      </c>
      <c r="BD68" s="142">
        <f t="shared" si="278"/>
        <v>0</v>
      </c>
      <c r="BE68" s="142">
        <f t="shared" si="278"/>
        <v>0</v>
      </c>
      <c r="BF68" s="142">
        <f t="shared" si="278"/>
        <v>0</v>
      </c>
      <c r="BG68" s="142">
        <f t="shared" si="278"/>
        <v>0</v>
      </c>
      <c r="BH68" s="142">
        <f t="shared" si="278"/>
        <v>0</v>
      </c>
      <c r="BI68" s="142">
        <f t="shared" si="278"/>
        <v>0</v>
      </c>
      <c r="BJ68" s="142">
        <f t="shared" si="278"/>
        <v>1500</v>
      </c>
      <c r="BK68" s="142" t="s">
        <v>951</v>
      </c>
      <c r="BL68" s="97">
        <f t="shared" ref="BL68:CL68" si="279">BL69</f>
        <v>0</v>
      </c>
      <c r="BM68" s="97">
        <f t="shared" si="279"/>
        <v>0</v>
      </c>
      <c r="BN68" s="97">
        <f t="shared" si="279"/>
        <v>0</v>
      </c>
      <c r="BO68" s="97">
        <f t="shared" si="279"/>
        <v>0</v>
      </c>
      <c r="BP68" s="97">
        <f t="shared" si="279"/>
        <v>0</v>
      </c>
      <c r="BQ68" s="97">
        <f t="shared" si="279"/>
        <v>0</v>
      </c>
      <c r="BR68" s="97">
        <f t="shared" si="279"/>
        <v>0</v>
      </c>
      <c r="BS68" s="97">
        <f t="shared" si="279"/>
        <v>0</v>
      </c>
      <c r="BT68" s="97">
        <f t="shared" si="279"/>
        <v>0</v>
      </c>
      <c r="BU68" s="97">
        <f t="shared" si="279"/>
        <v>0</v>
      </c>
      <c r="BV68" s="97">
        <f t="shared" si="279"/>
        <v>0</v>
      </c>
      <c r="BW68" s="97">
        <f t="shared" si="279"/>
        <v>250</v>
      </c>
      <c r="BX68" s="97">
        <f t="shared" si="279"/>
        <v>0</v>
      </c>
      <c r="BY68" s="97">
        <f t="shared" si="279"/>
        <v>0</v>
      </c>
      <c r="BZ68" s="97">
        <f t="shared" si="279"/>
        <v>0</v>
      </c>
      <c r="CA68" s="97">
        <f t="shared" si="279"/>
        <v>0</v>
      </c>
      <c r="CB68" s="97">
        <f t="shared" si="279"/>
        <v>0</v>
      </c>
      <c r="CC68" s="97">
        <f t="shared" si="279"/>
        <v>0</v>
      </c>
      <c r="CD68" s="97">
        <f t="shared" si="279"/>
        <v>23900</v>
      </c>
      <c r="CE68" s="97">
        <f t="shared" si="279"/>
        <v>0</v>
      </c>
      <c r="CF68" s="97">
        <f t="shared" si="279"/>
        <v>0</v>
      </c>
      <c r="CG68" s="97">
        <f t="shared" si="279"/>
        <v>0</v>
      </c>
      <c r="CH68" s="97">
        <f t="shared" si="279"/>
        <v>0</v>
      </c>
      <c r="CI68" s="97">
        <f t="shared" si="279"/>
        <v>0</v>
      </c>
      <c r="CJ68" s="97">
        <f t="shared" si="279"/>
        <v>0</v>
      </c>
      <c r="CK68" s="97">
        <f t="shared" si="279"/>
        <v>0</v>
      </c>
      <c r="CL68" s="97">
        <f t="shared" si="279"/>
        <v>0</v>
      </c>
      <c r="CM68" s="97">
        <f t="shared" ref="CM68:DR68" si="280">CM69</f>
        <v>5000</v>
      </c>
      <c r="CN68" s="97">
        <f t="shared" si="280"/>
        <v>0</v>
      </c>
      <c r="CO68" s="97">
        <f t="shared" si="280"/>
        <v>5000</v>
      </c>
      <c r="CP68" s="97">
        <f t="shared" si="280"/>
        <v>200</v>
      </c>
      <c r="CQ68" s="97">
        <f t="shared" si="280"/>
        <v>0</v>
      </c>
      <c r="CR68" s="97">
        <f t="shared" si="280"/>
        <v>0</v>
      </c>
      <c r="CS68" s="97">
        <f t="shared" si="280"/>
        <v>111500</v>
      </c>
      <c r="CT68" s="97">
        <f t="shared" si="280"/>
        <v>0</v>
      </c>
      <c r="CU68" s="97">
        <f t="shared" si="280"/>
        <v>0</v>
      </c>
      <c r="CV68" s="97">
        <f t="shared" si="280"/>
        <v>0</v>
      </c>
      <c r="CW68" s="97">
        <f t="shared" si="280"/>
        <v>0</v>
      </c>
      <c r="CX68" s="97">
        <f t="shared" si="280"/>
        <v>0</v>
      </c>
      <c r="CY68" s="97">
        <f t="shared" si="280"/>
        <v>0</v>
      </c>
      <c r="CZ68" s="97">
        <f t="shared" si="280"/>
        <v>0</v>
      </c>
      <c r="DA68" s="97">
        <f t="shared" si="280"/>
        <v>0</v>
      </c>
      <c r="DB68" s="97">
        <f t="shared" si="280"/>
        <v>0</v>
      </c>
      <c r="DC68" s="97">
        <f t="shared" si="280"/>
        <v>0</v>
      </c>
      <c r="DD68" s="97">
        <f t="shared" si="280"/>
        <v>0</v>
      </c>
      <c r="DE68" s="97">
        <f t="shared" si="280"/>
        <v>0</v>
      </c>
      <c r="DF68" s="97">
        <f t="shared" si="280"/>
        <v>0</v>
      </c>
      <c r="DG68" s="97">
        <f t="shared" si="280"/>
        <v>0</v>
      </c>
      <c r="DH68" s="97">
        <f t="shared" si="280"/>
        <v>0</v>
      </c>
      <c r="DI68" s="97">
        <f t="shared" si="280"/>
        <v>0</v>
      </c>
      <c r="DJ68" s="97">
        <f t="shared" si="280"/>
        <v>0</v>
      </c>
      <c r="DK68" s="97">
        <f t="shared" si="280"/>
        <v>0</v>
      </c>
      <c r="DL68" s="97">
        <f t="shared" si="280"/>
        <v>0</v>
      </c>
      <c r="DM68" s="97">
        <f t="shared" si="280"/>
        <v>132000</v>
      </c>
      <c r="DN68" s="97">
        <f t="shared" si="280"/>
        <v>0</v>
      </c>
      <c r="DO68" s="97">
        <f t="shared" si="280"/>
        <v>0</v>
      </c>
      <c r="DP68" s="97">
        <f t="shared" si="280"/>
        <v>0</v>
      </c>
      <c r="DQ68" s="97">
        <f t="shared" si="280"/>
        <v>0</v>
      </c>
      <c r="DR68" s="97">
        <f t="shared" si="280"/>
        <v>0</v>
      </c>
      <c r="DS68" s="97">
        <f t="shared" ref="DS68:EV68" si="281">DS69</f>
        <v>0</v>
      </c>
      <c r="DT68" s="97">
        <f t="shared" si="281"/>
        <v>0</v>
      </c>
      <c r="DU68" s="97">
        <f t="shared" si="281"/>
        <v>0</v>
      </c>
      <c r="DV68" s="97">
        <f t="shared" si="281"/>
        <v>0</v>
      </c>
      <c r="DW68" s="97">
        <f t="shared" si="281"/>
        <v>0</v>
      </c>
      <c r="DX68" s="106">
        <f t="shared" si="281"/>
        <v>0</v>
      </c>
      <c r="DY68" s="97">
        <f t="shared" si="281"/>
        <v>0</v>
      </c>
      <c r="DZ68" s="97">
        <f t="shared" si="281"/>
        <v>0</v>
      </c>
      <c r="EA68" s="97">
        <f t="shared" si="281"/>
        <v>0</v>
      </c>
      <c r="EB68" s="97">
        <f t="shared" si="281"/>
        <v>0</v>
      </c>
      <c r="EC68" s="97">
        <f t="shared" si="281"/>
        <v>0</v>
      </c>
      <c r="ED68" s="97">
        <f t="shared" si="281"/>
        <v>0</v>
      </c>
      <c r="EE68" s="97">
        <f t="shared" si="281"/>
        <v>0</v>
      </c>
      <c r="EF68" s="97">
        <f t="shared" si="281"/>
        <v>0</v>
      </c>
      <c r="EG68" s="97">
        <f t="shared" si="281"/>
        <v>0</v>
      </c>
      <c r="EH68" s="97">
        <f t="shared" si="281"/>
        <v>0</v>
      </c>
      <c r="EI68" s="97">
        <f t="shared" si="281"/>
        <v>91750</v>
      </c>
      <c r="EJ68" s="97">
        <f t="shared" si="281"/>
        <v>0</v>
      </c>
      <c r="EK68" s="97">
        <f>EK69</f>
        <v>0</v>
      </c>
      <c r="EL68" s="97">
        <f t="shared" si="281"/>
        <v>0</v>
      </c>
      <c r="EM68" s="97">
        <f t="shared" si="281"/>
        <v>0</v>
      </c>
      <c r="EN68" s="97">
        <f t="shared" si="281"/>
        <v>0</v>
      </c>
      <c r="EO68" s="97">
        <f t="shared" si="281"/>
        <v>0</v>
      </c>
      <c r="EP68" s="97">
        <f t="shared" si="281"/>
        <v>0</v>
      </c>
      <c r="EQ68" s="97">
        <f t="shared" si="281"/>
        <v>0</v>
      </c>
      <c r="ER68" s="97">
        <f t="shared" si="281"/>
        <v>0</v>
      </c>
      <c r="ES68" s="97">
        <f t="shared" si="281"/>
        <v>0</v>
      </c>
      <c r="ET68" s="97">
        <f t="shared" si="281"/>
        <v>1500</v>
      </c>
      <c r="EU68" s="97">
        <f t="shared" si="281"/>
        <v>0</v>
      </c>
      <c r="EV68" s="97">
        <f t="shared" si="281"/>
        <v>700</v>
      </c>
      <c r="EW68" s="97">
        <f t="shared" ref="EW68:OV68" si="282">EW69</f>
        <v>0</v>
      </c>
      <c r="EX68" s="97">
        <f t="shared" si="282"/>
        <v>0</v>
      </c>
      <c r="EY68" s="97">
        <f t="shared" si="282"/>
        <v>0</v>
      </c>
      <c r="EZ68" s="97">
        <f>EZ69</f>
        <v>0</v>
      </c>
      <c r="FA68" s="97">
        <f>FA69</f>
        <v>0</v>
      </c>
      <c r="FB68" s="97">
        <f>FB69</f>
        <v>0</v>
      </c>
      <c r="FC68" s="97">
        <f>FC69</f>
        <v>180</v>
      </c>
      <c r="FD68" s="97">
        <f t="shared" si="282"/>
        <v>0</v>
      </c>
      <c r="FE68" s="97">
        <f t="shared" si="282"/>
        <v>0</v>
      </c>
      <c r="FF68" s="97">
        <f t="shared" ref="FF68:GR68" si="283">FF69</f>
        <v>0</v>
      </c>
      <c r="FG68" s="97">
        <f t="shared" si="283"/>
        <v>0</v>
      </c>
      <c r="FH68" s="97">
        <f t="shared" si="283"/>
        <v>0</v>
      </c>
      <c r="FI68" s="97">
        <f t="shared" si="283"/>
        <v>0</v>
      </c>
      <c r="FJ68" s="97">
        <f t="shared" si="283"/>
        <v>0</v>
      </c>
      <c r="FK68" s="97">
        <f t="shared" si="283"/>
        <v>125</v>
      </c>
      <c r="FL68" s="97">
        <f t="shared" si="283"/>
        <v>0</v>
      </c>
      <c r="FM68" s="97">
        <f t="shared" si="283"/>
        <v>0</v>
      </c>
      <c r="FN68" s="97">
        <f t="shared" si="283"/>
        <v>0</v>
      </c>
      <c r="FO68" s="97">
        <f t="shared" si="283"/>
        <v>0</v>
      </c>
      <c r="FP68" s="97">
        <f t="shared" si="283"/>
        <v>0</v>
      </c>
      <c r="FQ68" s="97">
        <f t="shared" si="283"/>
        <v>0</v>
      </c>
      <c r="FR68" s="97">
        <f t="shared" si="283"/>
        <v>0</v>
      </c>
      <c r="FS68" s="97">
        <f t="shared" si="283"/>
        <v>300</v>
      </c>
      <c r="FT68" s="97">
        <f t="shared" si="283"/>
        <v>0</v>
      </c>
      <c r="FU68" s="97">
        <f t="shared" si="283"/>
        <v>0</v>
      </c>
      <c r="FV68" s="97">
        <f t="shared" si="283"/>
        <v>0</v>
      </c>
      <c r="FW68" s="97">
        <f t="shared" si="283"/>
        <v>0</v>
      </c>
      <c r="FX68" s="97">
        <f t="shared" si="283"/>
        <v>0</v>
      </c>
      <c r="FY68" s="97">
        <f t="shared" si="283"/>
        <v>0</v>
      </c>
      <c r="FZ68" s="97">
        <f t="shared" si="283"/>
        <v>0</v>
      </c>
      <c r="GA68" s="97">
        <f t="shared" si="283"/>
        <v>0</v>
      </c>
      <c r="GB68" s="97">
        <f t="shared" si="283"/>
        <v>0</v>
      </c>
      <c r="GC68" s="97">
        <f t="shared" si="283"/>
        <v>0</v>
      </c>
      <c r="GD68" s="97">
        <f t="shared" si="283"/>
        <v>0</v>
      </c>
      <c r="GE68" s="97">
        <f t="shared" si="283"/>
        <v>0</v>
      </c>
      <c r="GF68" s="97">
        <f t="shared" si="283"/>
        <v>0</v>
      </c>
      <c r="GG68" s="97">
        <f t="shared" si="283"/>
        <v>0</v>
      </c>
      <c r="GH68" s="97">
        <f t="shared" si="283"/>
        <v>2000</v>
      </c>
      <c r="GI68" s="97">
        <f t="shared" si="283"/>
        <v>0</v>
      </c>
      <c r="GJ68" s="97">
        <f t="shared" si="283"/>
        <v>0</v>
      </c>
      <c r="GK68" s="97">
        <f t="shared" si="283"/>
        <v>0</v>
      </c>
      <c r="GL68" s="97">
        <f t="shared" si="283"/>
        <v>0</v>
      </c>
      <c r="GM68" s="97">
        <f t="shared" si="283"/>
        <v>0</v>
      </c>
      <c r="GN68" s="97">
        <f t="shared" si="283"/>
        <v>0</v>
      </c>
      <c r="GO68" s="97">
        <f t="shared" si="283"/>
        <v>0</v>
      </c>
      <c r="GP68" s="97">
        <f t="shared" si="283"/>
        <v>0</v>
      </c>
      <c r="GQ68" s="97">
        <f t="shared" si="283"/>
        <v>0</v>
      </c>
      <c r="GR68" s="97">
        <f t="shared" si="283"/>
        <v>0</v>
      </c>
      <c r="GS68" s="97">
        <f t="shared" si="282"/>
        <v>0</v>
      </c>
      <c r="GT68" s="97">
        <f t="shared" ref="GT68:HG68" si="284">GT69</f>
        <v>0</v>
      </c>
      <c r="GU68" s="97">
        <f t="shared" si="284"/>
        <v>0</v>
      </c>
      <c r="GV68" s="97">
        <f t="shared" si="284"/>
        <v>0</v>
      </c>
      <c r="GW68" s="97">
        <f t="shared" si="284"/>
        <v>0</v>
      </c>
      <c r="GX68" s="97">
        <f t="shared" si="284"/>
        <v>0</v>
      </c>
      <c r="GY68" s="97">
        <f t="shared" si="284"/>
        <v>0</v>
      </c>
      <c r="GZ68" s="97">
        <f t="shared" si="284"/>
        <v>0</v>
      </c>
      <c r="HA68" s="97">
        <f t="shared" si="284"/>
        <v>150</v>
      </c>
      <c r="HB68" s="97">
        <f t="shared" si="284"/>
        <v>0</v>
      </c>
      <c r="HC68" s="97">
        <f t="shared" si="284"/>
        <v>0</v>
      </c>
      <c r="HD68" s="97">
        <f t="shared" si="284"/>
        <v>0</v>
      </c>
      <c r="HE68" s="97">
        <f t="shared" si="284"/>
        <v>0</v>
      </c>
      <c r="HF68" s="97">
        <f t="shared" si="284"/>
        <v>0</v>
      </c>
      <c r="HG68" s="97">
        <f t="shared" si="284"/>
        <v>0</v>
      </c>
      <c r="HH68" s="97">
        <f t="shared" si="282"/>
        <v>0</v>
      </c>
      <c r="HI68" s="97">
        <f t="shared" ref="HI68:IN68" si="285">HI69</f>
        <v>12250</v>
      </c>
      <c r="HJ68" s="97">
        <f t="shared" si="285"/>
        <v>0</v>
      </c>
      <c r="HK68" s="97">
        <f t="shared" si="285"/>
        <v>0</v>
      </c>
      <c r="HL68" s="97">
        <f t="shared" si="285"/>
        <v>0</v>
      </c>
      <c r="HM68" s="97">
        <f t="shared" si="285"/>
        <v>0</v>
      </c>
      <c r="HN68" s="97">
        <f t="shared" si="285"/>
        <v>0</v>
      </c>
      <c r="HO68" s="97">
        <f t="shared" si="285"/>
        <v>0</v>
      </c>
      <c r="HP68" s="97">
        <f t="shared" si="285"/>
        <v>0</v>
      </c>
      <c r="HQ68" s="97">
        <f t="shared" si="285"/>
        <v>0</v>
      </c>
      <c r="HR68" s="97">
        <f t="shared" si="285"/>
        <v>0</v>
      </c>
      <c r="HS68" s="97">
        <f t="shared" si="285"/>
        <v>0</v>
      </c>
      <c r="HT68" s="97">
        <f t="shared" si="285"/>
        <v>0</v>
      </c>
      <c r="HU68" s="97">
        <f t="shared" si="285"/>
        <v>0</v>
      </c>
      <c r="HV68" s="97">
        <f t="shared" si="285"/>
        <v>0</v>
      </c>
      <c r="HW68" s="97">
        <f t="shared" si="285"/>
        <v>0</v>
      </c>
      <c r="HX68" s="97">
        <f t="shared" si="285"/>
        <v>0</v>
      </c>
      <c r="HY68" s="97">
        <f t="shared" si="285"/>
        <v>0</v>
      </c>
      <c r="HZ68" s="97">
        <f t="shared" si="285"/>
        <v>0</v>
      </c>
      <c r="IA68" s="97">
        <f t="shared" si="285"/>
        <v>0</v>
      </c>
      <c r="IB68" s="97">
        <f t="shared" si="285"/>
        <v>0</v>
      </c>
      <c r="IC68" s="97">
        <f t="shared" si="285"/>
        <v>0</v>
      </c>
      <c r="ID68" s="97">
        <f t="shared" si="285"/>
        <v>7500</v>
      </c>
      <c r="IE68" s="97">
        <f t="shared" si="285"/>
        <v>0</v>
      </c>
      <c r="IF68" s="97">
        <f t="shared" si="285"/>
        <v>0</v>
      </c>
      <c r="IG68" s="97">
        <f t="shared" si="285"/>
        <v>0</v>
      </c>
      <c r="IH68" s="97">
        <f t="shared" si="285"/>
        <v>0</v>
      </c>
      <c r="II68" s="97">
        <f t="shared" si="285"/>
        <v>0</v>
      </c>
      <c r="IJ68" s="97">
        <f t="shared" si="285"/>
        <v>0</v>
      </c>
      <c r="IK68" s="97">
        <f t="shared" si="285"/>
        <v>0</v>
      </c>
      <c r="IL68" s="97">
        <f t="shared" si="285"/>
        <v>0</v>
      </c>
      <c r="IM68" s="97">
        <f t="shared" si="285"/>
        <v>3500</v>
      </c>
      <c r="IN68" s="97">
        <f t="shared" si="285"/>
        <v>0</v>
      </c>
      <c r="IO68" s="97">
        <f t="shared" ref="IO68:JT68" si="286">IO69</f>
        <v>0</v>
      </c>
      <c r="IP68" s="97">
        <f t="shared" si="286"/>
        <v>0</v>
      </c>
      <c r="IQ68" s="97">
        <f t="shared" si="286"/>
        <v>0</v>
      </c>
      <c r="IR68" s="97">
        <f t="shared" si="286"/>
        <v>0</v>
      </c>
      <c r="IS68" s="97">
        <f t="shared" si="286"/>
        <v>0</v>
      </c>
      <c r="IT68" s="97">
        <f t="shared" si="286"/>
        <v>700</v>
      </c>
      <c r="IU68" s="97">
        <f t="shared" si="286"/>
        <v>0</v>
      </c>
      <c r="IV68" s="97">
        <f t="shared" si="286"/>
        <v>0</v>
      </c>
      <c r="IW68" s="97">
        <f t="shared" si="286"/>
        <v>0</v>
      </c>
      <c r="IX68" s="97">
        <f t="shared" si="286"/>
        <v>0</v>
      </c>
      <c r="IY68" s="97">
        <f t="shared" si="286"/>
        <v>0</v>
      </c>
      <c r="IZ68" s="97">
        <f t="shared" si="286"/>
        <v>0</v>
      </c>
      <c r="JA68" s="97">
        <f t="shared" si="286"/>
        <v>0</v>
      </c>
      <c r="JB68" s="97">
        <f t="shared" si="286"/>
        <v>0</v>
      </c>
      <c r="JC68" s="97">
        <f t="shared" si="286"/>
        <v>0</v>
      </c>
      <c r="JD68" s="97">
        <f t="shared" si="286"/>
        <v>0</v>
      </c>
      <c r="JE68" s="97">
        <f t="shared" si="286"/>
        <v>0</v>
      </c>
      <c r="JF68" s="97">
        <f t="shared" si="286"/>
        <v>0</v>
      </c>
      <c r="JG68" s="97">
        <f t="shared" si="286"/>
        <v>0</v>
      </c>
      <c r="JH68" s="97">
        <f t="shared" si="286"/>
        <v>0</v>
      </c>
      <c r="JI68" s="97">
        <f t="shared" si="286"/>
        <v>45</v>
      </c>
      <c r="JJ68" s="97">
        <f t="shared" si="286"/>
        <v>0</v>
      </c>
      <c r="JK68" s="97">
        <f t="shared" si="286"/>
        <v>1099.5999999999999</v>
      </c>
      <c r="JL68" s="97">
        <f t="shared" si="286"/>
        <v>0</v>
      </c>
      <c r="JM68" s="97">
        <f t="shared" si="286"/>
        <v>0</v>
      </c>
      <c r="JN68" s="97">
        <f t="shared" si="286"/>
        <v>0</v>
      </c>
      <c r="JO68" s="97">
        <f t="shared" si="286"/>
        <v>0</v>
      </c>
      <c r="JP68" s="97">
        <f t="shared" si="286"/>
        <v>0</v>
      </c>
      <c r="JQ68" s="97">
        <f t="shared" si="286"/>
        <v>0</v>
      </c>
      <c r="JR68" s="97">
        <f t="shared" si="286"/>
        <v>0</v>
      </c>
      <c r="JS68" s="97">
        <f t="shared" si="286"/>
        <v>0</v>
      </c>
      <c r="JT68" s="97">
        <f t="shared" si="286"/>
        <v>0</v>
      </c>
      <c r="JU68" s="97">
        <f t="shared" ref="JU68:KZ68" si="287">JU69</f>
        <v>0</v>
      </c>
      <c r="JV68" s="97">
        <f t="shared" si="287"/>
        <v>0</v>
      </c>
      <c r="JW68" s="97">
        <f t="shared" si="287"/>
        <v>0</v>
      </c>
      <c r="JX68" s="97">
        <f t="shared" si="287"/>
        <v>0</v>
      </c>
      <c r="JY68" s="97">
        <f t="shared" si="287"/>
        <v>0</v>
      </c>
      <c r="JZ68" s="97">
        <f t="shared" si="287"/>
        <v>15000</v>
      </c>
      <c r="KA68" s="97">
        <f t="shared" si="287"/>
        <v>200</v>
      </c>
      <c r="KB68" s="97">
        <f t="shared" si="287"/>
        <v>0</v>
      </c>
      <c r="KC68" s="97">
        <f t="shared" si="287"/>
        <v>0</v>
      </c>
      <c r="KD68" s="97">
        <f t="shared" si="287"/>
        <v>0</v>
      </c>
      <c r="KE68" s="97">
        <f t="shared" si="287"/>
        <v>0</v>
      </c>
      <c r="KF68" s="97">
        <f t="shared" si="287"/>
        <v>0</v>
      </c>
      <c r="KG68" s="97">
        <f t="shared" si="287"/>
        <v>0</v>
      </c>
      <c r="KH68" s="97">
        <f t="shared" si="287"/>
        <v>0</v>
      </c>
      <c r="KI68" s="97">
        <f t="shared" si="287"/>
        <v>0</v>
      </c>
      <c r="KJ68" s="97">
        <f t="shared" si="287"/>
        <v>5500</v>
      </c>
      <c r="KK68" s="97">
        <f t="shared" si="287"/>
        <v>0</v>
      </c>
      <c r="KL68" s="97">
        <f t="shared" si="287"/>
        <v>0</v>
      </c>
      <c r="KM68" s="97">
        <f t="shared" si="287"/>
        <v>0</v>
      </c>
      <c r="KN68" s="97">
        <f t="shared" si="287"/>
        <v>0</v>
      </c>
      <c r="KO68" s="97">
        <f t="shared" si="287"/>
        <v>0</v>
      </c>
      <c r="KP68" s="97">
        <f t="shared" si="287"/>
        <v>0</v>
      </c>
      <c r="KQ68" s="97">
        <f t="shared" si="287"/>
        <v>0</v>
      </c>
      <c r="KR68" s="97">
        <f t="shared" si="287"/>
        <v>0</v>
      </c>
      <c r="KS68" s="97">
        <f t="shared" si="287"/>
        <v>0</v>
      </c>
      <c r="KT68" s="97">
        <f t="shared" si="287"/>
        <v>0</v>
      </c>
      <c r="KU68" s="97">
        <f t="shared" si="287"/>
        <v>0</v>
      </c>
      <c r="KV68" s="97">
        <f t="shared" si="287"/>
        <v>0</v>
      </c>
      <c r="KW68" s="97">
        <f t="shared" si="287"/>
        <v>0</v>
      </c>
      <c r="KX68" s="97">
        <f t="shared" si="287"/>
        <v>5000</v>
      </c>
      <c r="KY68" s="97">
        <f t="shared" si="287"/>
        <v>0</v>
      </c>
      <c r="KZ68" s="97">
        <f t="shared" si="287"/>
        <v>0</v>
      </c>
      <c r="LA68" s="97">
        <f t="shared" ref="LA68:OT68" si="288">LA69</f>
        <v>0</v>
      </c>
      <c r="LB68" s="97">
        <f t="shared" si="288"/>
        <v>0</v>
      </c>
      <c r="LC68" s="97">
        <f t="shared" ref="LC68:LJ68" si="289">LC69</f>
        <v>0</v>
      </c>
      <c r="LD68" s="97">
        <f t="shared" si="289"/>
        <v>0</v>
      </c>
      <c r="LE68" s="97">
        <f t="shared" si="289"/>
        <v>0</v>
      </c>
      <c r="LF68" s="97">
        <f t="shared" si="289"/>
        <v>0</v>
      </c>
      <c r="LG68" s="97">
        <f t="shared" si="289"/>
        <v>0</v>
      </c>
      <c r="LH68" s="97">
        <f t="shared" si="289"/>
        <v>0</v>
      </c>
      <c r="LI68" s="97">
        <f t="shared" si="289"/>
        <v>0</v>
      </c>
      <c r="LJ68" s="97">
        <f t="shared" si="289"/>
        <v>0</v>
      </c>
      <c r="LK68" s="97">
        <f t="shared" ref="LK68:LQ68" si="290">LK69</f>
        <v>0</v>
      </c>
      <c r="LL68" s="97">
        <f t="shared" si="290"/>
        <v>0</v>
      </c>
      <c r="LM68" s="97">
        <f>LM69</f>
        <v>0</v>
      </c>
      <c r="LN68" s="97">
        <f>LN69</f>
        <v>0</v>
      </c>
      <c r="LO68" s="97">
        <f t="shared" si="290"/>
        <v>0</v>
      </c>
      <c r="LP68" s="97">
        <f t="shared" si="290"/>
        <v>33500</v>
      </c>
      <c r="LQ68" s="97">
        <f t="shared" si="290"/>
        <v>0</v>
      </c>
      <c r="LR68" s="97">
        <f t="shared" ref="LR68:MW68" si="291">LR69</f>
        <v>0</v>
      </c>
      <c r="LS68" s="97">
        <f t="shared" si="291"/>
        <v>0</v>
      </c>
      <c r="LT68" s="97">
        <f t="shared" si="291"/>
        <v>25180.9</v>
      </c>
      <c r="LU68" s="97">
        <f t="shared" si="291"/>
        <v>0</v>
      </c>
      <c r="LV68" s="97">
        <f t="shared" si="291"/>
        <v>0</v>
      </c>
      <c r="LW68" s="97">
        <f t="shared" si="291"/>
        <v>0</v>
      </c>
      <c r="LX68" s="97">
        <f t="shared" si="291"/>
        <v>1250</v>
      </c>
      <c r="LY68" s="97">
        <f t="shared" si="291"/>
        <v>0</v>
      </c>
      <c r="LZ68" s="97">
        <f t="shared" si="291"/>
        <v>0</v>
      </c>
      <c r="MA68" s="97">
        <f t="shared" si="291"/>
        <v>0</v>
      </c>
      <c r="MB68" s="97">
        <f t="shared" si="291"/>
        <v>0</v>
      </c>
      <c r="MC68" s="97">
        <f t="shared" si="291"/>
        <v>0</v>
      </c>
      <c r="MD68" s="97">
        <f t="shared" si="291"/>
        <v>0</v>
      </c>
      <c r="ME68" s="97">
        <f t="shared" si="291"/>
        <v>0</v>
      </c>
      <c r="MF68" s="97">
        <f t="shared" si="291"/>
        <v>300</v>
      </c>
      <c r="MG68" s="97">
        <f t="shared" si="291"/>
        <v>0</v>
      </c>
      <c r="MH68" s="97">
        <f t="shared" si="291"/>
        <v>500</v>
      </c>
      <c r="MI68" s="97">
        <f t="shared" si="291"/>
        <v>0</v>
      </c>
      <c r="MJ68" s="97">
        <f t="shared" si="291"/>
        <v>1200</v>
      </c>
      <c r="MK68" s="97">
        <f t="shared" si="291"/>
        <v>0</v>
      </c>
      <c r="ML68" s="97">
        <f t="shared" si="291"/>
        <v>0</v>
      </c>
      <c r="MM68" s="97">
        <f t="shared" si="291"/>
        <v>0</v>
      </c>
      <c r="MN68" s="97">
        <f t="shared" si="291"/>
        <v>750</v>
      </c>
      <c r="MO68" s="97">
        <f t="shared" si="291"/>
        <v>0</v>
      </c>
      <c r="MP68" s="97">
        <f t="shared" si="291"/>
        <v>0</v>
      </c>
      <c r="MQ68" s="97">
        <f t="shared" si="291"/>
        <v>0</v>
      </c>
      <c r="MR68" s="97">
        <f t="shared" si="291"/>
        <v>0</v>
      </c>
      <c r="MS68" s="97">
        <f t="shared" si="291"/>
        <v>1620</v>
      </c>
      <c r="MT68" s="97">
        <f t="shared" si="291"/>
        <v>0</v>
      </c>
      <c r="MU68" s="97">
        <f t="shared" si="291"/>
        <v>0</v>
      </c>
      <c r="MV68" s="97">
        <f t="shared" si="291"/>
        <v>0</v>
      </c>
      <c r="MW68" s="97">
        <f t="shared" si="291"/>
        <v>575</v>
      </c>
      <c r="MX68" s="97">
        <f t="shared" ref="MX68:OC68" si="292">MX69</f>
        <v>0</v>
      </c>
      <c r="MY68" s="97">
        <f t="shared" si="292"/>
        <v>0</v>
      </c>
      <c r="MZ68" s="97">
        <f t="shared" si="292"/>
        <v>500</v>
      </c>
      <c r="NA68" s="97">
        <f t="shared" si="292"/>
        <v>0</v>
      </c>
      <c r="NB68" s="97">
        <f t="shared" si="292"/>
        <v>0</v>
      </c>
      <c r="NC68" s="97">
        <f t="shared" si="292"/>
        <v>0</v>
      </c>
      <c r="ND68" s="97">
        <f t="shared" si="292"/>
        <v>0</v>
      </c>
      <c r="NE68" s="97">
        <f t="shared" si="292"/>
        <v>0</v>
      </c>
      <c r="NF68" s="97">
        <f t="shared" si="292"/>
        <v>0</v>
      </c>
      <c r="NG68" s="97">
        <f t="shared" si="292"/>
        <v>0</v>
      </c>
      <c r="NH68" s="97">
        <f t="shared" si="292"/>
        <v>0</v>
      </c>
      <c r="NI68" s="97">
        <f t="shared" si="292"/>
        <v>0</v>
      </c>
      <c r="NJ68" s="97">
        <f t="shared" si="292"/>
        <v>0</v>
      </c>
      <c r="NK68" s="97">
        <f t="shared" si="292"/>
        <v>0</v>
      </c>
      <c r="NL68" s="97">
        <f t="shared" si="292"/>
        <v>0</v>
      </c>
      <c r="NM68" s="97">
        <f t="shared" si="292"/>
        <v>3481.5</v>
      </c>
      <c r="NN68" s="97">
        <f t="shared" si="292"/>
        <v>0</v>
      </c>
      <c r="NO68" s="97">
        <f t="shared" si="292"/>
        <v>0</v>
      </c>
      <c r="NP68" s="97">
        <f t="shared" si="292"/>
        <v>0</v>
      </c>
      <c r="NQ68" s="97">
        <f t="shared" si="292"/>
        <v>0</v>
      </c>
      <c r="NR68" s="97">
        <f t="shared" si="292"/>
        <v>0</v>
      </c>
      <c r="NS68" s="97">
        <f t="shared" si="292"/>
        <v>0</v>
      </c>
      <c r="NT68" s="97">
        <f t="shared" si="292"/>
        <v>0</v>
      </c>
      <c r="NU68" s="97">
        <f t="shared" si="292"/>
        <v>0</v>
      </c>
      <c r="NV68" s="97">
        <f t="shared" si="292"/>
        <v>0</v>
      </c>
      <c r="NW68" s="97">
        <f t="shared" si="292"/>
        <v>0</v>
      </c>
      <c r="NX68" s="97">
        <f t="shared" si="292"/>
        <v>350</v>
      </c>
      <c r="NY68" s="97">
        <f t="shared" si="292"/>
        <v>0</v>
      </c>
      <c r="NZ68" s="97">
        <f t="shared" si="292"/>
        <v>0</v>
      </c>
      <c r="OA68" s="97">
        <f t="shared" si="292"/>
        <v>0</v>
      </c>
      <c r="OB68" s="97">
        <f t="shared" si="292"/>
        <v>0</v>
      </c>
      <c r="OC68" s="97">
        <f t="shared" si="292"/>
        <v>0</v>
      </c>
      <c r="OD68" s="97">
        <f t="shared" ref="OD68:OG68" si="293">OD69</f>
        <v>0</v>
      </c>
      <c r="OE68" s="97">
        <f t="shared" si="293"/>
        <v>0</v>
      </c>
      <c r="OF68" s="97">
        <f t="shared" si="293"/>
        <v>8100</v>
      </c>
      <c r="OG68" s="97">
        <f t="shared" si="293"/>
        <v>0</v>
      </c>
      <c r="OH68" s="97">
        <f t="shared" si="288"/>
        <v>0</v>
      </c>
      <c r="OI68" s="97">
        <f t="shared" si="288"/>
        <v>0</v>
      </c>
      <c r="OJ68" s="97">
        <f>OJ69</f>
        <v>0</v>
      </c>
      <c r="OK68" s="97">
        <f>OK69</f>
        <v>0</v>
      </c>
      <c r="OL68" s="97">
        <f t="shared" si="288"/>
        <v>0</v>
      </c>
      <c r="OM68" s="97">
        <f t="shared" si="288"/>
        <v>0</v>
      </c>
      <c r="ON68" s="97">
        <f>ON69</f>
        <v>0</v>
      </c>
      <c r="OO68" s="97">
        <f t="shared" si="288"/>
        <v>0</v>
      </c>
      <c r="OP68" s="97">
        <f t="shared" si="288"/>
        <v>0</v>
      </c>
      <c r="OQ68" s="97">
        <f t="shared" si="288"/>
        <v>0</v>
      </c>
      <c r="OR68" s="97">
        <f t="shared" si="288"/>
        <v>0</v>
      </c>
      <c r="OS68" s="97">
        <f t="shared" si="288"/>
        <v>990</v>
      </c>
      <c r="OT68" s="97">
        <f t="shared" si="288"/>
        <v>0</v>
      </c>
      <c r="OU68" s="97">
        <f t="shared" si="282"/>
        <v>0</v>
      </c>
      <c r="OV68" s="97">
        <f t="shared" si="282"/>
        <v>0</v>
      </c>
      <c r="OW68" s="97">
        <f t="shared" ref="OW68:PH68" si="294">OW69</f>
        <v>0</v>
      </c>
      <c r="OX68" s="97">
        <f t="shared" si="294"/>
        <v>0</v>
      </c>
      <c r="OY68" s="97">
        <f t="shared" si="294"/>
        <v>0</v>
      </c>
      <c r="OZ68" s="97">
        <f t="shared" si="294"/>
        <v>0</v>
      </c>
      <c r="PA68" s="97">
        <f t="shared" si="294"/>
        <v>0</v>
      </c>
      <c r="PB68" s="97">
        <f>PB69</f>
        <v>900</v>
      </c>
      <c r="PC68" s="97">
        <f t="shared" si="294"/>
        <v>0</v>
      </c>
      <c r="PD68" s="97">
        <f>PD69</f>
        <v>0</v>
      </c>
      <c r="PE68" s="97">
        <f t="shared" si="294"/>
        <v>0</v>
      </c>
      <c r="PF68" s="97">
        <f t="shared" si="294"/>
        <v>0</v>
      </c>
      <c r="PG68" s="97">
        <f t="shared" si="294"/>
        <v>0</v>
      </c>
      <c r="PH68" s="97">
        <f t="shared" si="294"/>
        <v>0</v>
      </c>
      <c r="PI68" s="97">
        <f>PI69</f>
        <v>400</v>
      </c>
      <c r="PJ68" s="97">
        <f t="shared" ref="PJ68:QC68" si="295">PJ69</f>
        <v>0</v>
      </c>
      <c r="PK68" s="97">
        <f t="shared" si="295"/>
        <v>0</v>
      </c>
      <c r="PL68" s="97">
        <f t="shared" si="295"/>
        <v>0</v>
      </c>
      <c r="PM68" s="97">
        <f t="shared" si="295"/>
        <v>0</v>
      </c>
      <c r="PN68" s="97">
        <f t="shared" ref="PN68:PS68" si="296">PN69</f>
        <v>0</v>
      </c>
      <c r="PO68" s="97">
        <f t="shared" si="296"/>
        <v>0</v>
      </c>
      <c r="PP68" s="97">
        <f t="shared" si="296"/>
        <v>0</v>
      </c>
      <c r="PQ68" s="97">
        <f t="shared" si="296"/>
        <v>0</v>
      </c>
      <c r="PR68" s="97">
        <f t="shared" si="296"/>
        <v>0</v>
      </c>
      <c r="PS68" s="97">
        <f t="shared" si="296"/>
        <v>260</v>
      </c>
      <c r="PT68" s="97">
        <f t="shared" si="295"/>
        <v>0</v>
      </c>
      <c r="PU68" s="97">
        <f>PU69</f>
        <v>0</v>
      </c>
      <c r="PV68" s="97">
        <f t="shared" si="295"/>
        <v>0</v>
      </c>
      <c r="PW68" s="97">
        <f>PW69</f>
        <v>1000</v>
      </c>
      <c r="PX68" s="97">
        <f>PX69</f>
        <v>0</v>
      </c>
      <c r="PY68" s="97">
        <f>PY69</f>
        <v>0</v>
      </c>
      <c r="PZ68" s="97">
        <f>PZ69</f>
        <v>0</v>
      </c>
      <c r="QA68" s="97">
        <f>QA69</f>
        <v>0</v>
      </c>
      <c r="QB68" s="97">
        <f t="shared" si="295"/>
        <v>0</v>
      </c>
      <c r="QC68" s="97">
        <f t="shared" si="295"/>
        <v>0</v>
      </c>
      <c r="QD68" s="97">
        <f>QD69</f>
        <v>0</v>
      </c>
      <c r="QE68" s="97">
        <f t="shared" ref="QE68:QJ68" si="297">QE69</f>
        <v>0</v>
      </c>
      <c r="QF68" s="97">
        <f t="shared" si="297"/>
        <v>0</v>
      </c>
      <c r="QG68" s="97">
        <f t="shared" si="297"/>
        <v>0</v>
      </c>
      <c r="QH68" s="97">
        <f t="shared" si="297"/>
        <v>0</v>
      </c>
      <c r="QI68" s="97">
        <f t="shared" si="297"/>
        <v>0</v>
      </c>
      <c r="QJ68" s="97">
        <f t="shared" si="297"/>
        <v>0</v>
      </c>
      <c r="QK68" s="97">
        <f>QK69</f>
        <v>0</v>
      </c>
      <c r="QL68" s="97">
        <f t="shared" ref="QL68:QM68" si="298">QL69</f>
        <v>0</v>
      </c>
      <c r="QM68" s="97">
        <f t="shared" si="298"/>
        <v>2200</v>
      </c>
      <c r="QN68" s="97">
        <f>QN69</f>
        <v>0</v>
      </c>
      <c r="QO68" s="97">
        <f>QO69</f>
        <v>0</v>
      </c>
      <c r="QP68" s="97">
        <f t="shared" ref="QP68" si="299">QP69</f>
        <v>0</v>
      </c>
      <c r="QQ68" s="97">
        <f>QQ69</f>
        <v>0</v>
      </c>
      <c r="QR68" s="97">
        <f>QR69</f>
        <v>0</v>
      </c>
      <c r="QS68" s="97">
        <f t="shared" ref="QS68:RM68" si="300">QS69</f>
        <v>0</v>
      </c>
      <c r="QT68" s="97">
        <f>QT69</f>
        <v>0</v>
      </c>
      <c r="QU68" s="97">
        <f>QU69</f>
        <v>0</v>
      </c>
      <c r="QV68" s="97">
        <f t="shared" si="300"/>
        <v>0</v>
      </c>
      <c r="QW68" s="97">
        <f t="shared" si="300"/>
        <v>0</v>
      </c>
      <c r="QX68" s="97">
        <f t="shared" si="300"/>
        <v>0</v>
      </c>
      <c r="QY68" s="97">
        <f t="shared" si="300"/>
        <v>0</v>
      </c>
      <c r="QZ68" s="97">
        <f t="shared" si="300"/>
        <v>0</v>
      </c>
      <c r="RA68" s="97">
        <f t="shared" si="300"/>
        <v>0</v>
      </c>
      <c r="RB68" s="97">
        <f t="shared" si="300"/>
        <v>0</v>
      </c>
      <c r="RC68" s="97">
        <f t="shared" si="300"/>
        <v>0</v>
      </c>
      <c r="RD68" s="97">
        <f t="shared" si="300"/>
        <v>0</v>
      </c>
      <c r="RE68" s="97">
        <f>RE69</f>
        <v>0</v>
      </c>
      <c r="RF68" s="97">
        <f t="shared" si="300"/>
        <v>0</v>
      </c>
      <c r="RG68" s="97">
        <f t="shared" si="300"/>
        <v>0</v>
      </c>
      <c r="RH68" s="97">
        <f t="shared" si="300"/>
        <v>0</v>
      </c>
      <c r="RI68" s="97">
        <f t="shared" si="300"/>
        <v>0</v>
      </c>
      <c r="RJ68" s="97">
        <f>RJ69</f>
        <v>0</v>
      </c>
      <c r="RK68" s="97">
        <f t="shared" si="300"/>
        <v>0</v>
      </c>
      <c r="RL68" s="97">
        <f t="shared" si="300"/>
        <v>0</v>
      </c>
      <c r="RM68" s="97">
        <f t="shared" si="300"/>
        <v>0</v>
      </c>
      <c r="RN68" s="97">
        <f>RN69</f>
        <v>0</v>
      </c>
    </row>
    <row r="69" spans="1:482" s="60" customFormat="1" ht="11.25" customHeight="1" x14ac:dyDescent="0.2">
      <c r="A69" s="124">
        <v>3.1</v>
      </c>
      <c r="B69" s="176" t="s">
        <v>882</v>
      </c>
      <c r="C69" s="176"/>
      <c r="D69" s="116">
        <f>SUM(E69:RR69)</f>
        <v>758886.8</v>
      </c>
      <c r="E69" s="142"/>
      <c r="F69" s="142">
        <f>+F70+F72</f>
        <v>0</v>
      </c>
      <c r="G69" s="142">
        <v>835</v>
      </c>
      <c r="H69" s="142"/>
      <c r="I69" s="114">
        <v>2000</v>
      </c>
      <c r="J69" s="114">
        <f>15000+19114</f>
        <v>34114</v>
      </c>
      <c r="K69" s="114"/>
      <c r="L69" s="114"/>
      <c r="M69" s="114"/>
      <c r="N69" s="114"/>
      <c r="O69" s="114"/>
      <c r="P69" s="114"/>
      <c r="Q69" s="114"/>
      <c r="R69" s="114"/>
      <c r="S69" s="114">
        <v>1200</v>
      </c>
      <c r="T69" s="114"/>
      <c r="U69" s="114"/>
      <c r="V69" s="114"/>
      <c r="W69" s="114"/>
      <c r="X69" s="114"/>
      <c r="Y69" s="114">
        <v>3602.5</v>
      </c>
      <c r="Z69" s="114">
        <v>4769.3</v>
      </c>
      <c r="AA69" s="114"/>
      <c r="AB69" s="114"/>
      <c r="AC69" s="114"/>
      <c r="AD69" s="114"/>
      <c r="AE69" s="114"/>
      <c r="AF69" s="114">
        <v>100000</v>
      </c>
      <c r="AG69" s="114"/>
      <c r="AH69" s="114"/>
      <c r="AI69" s="114">
        <v>1260</v>
      </c>
      <c r="AJ69" s="114">
        <v>44700</v>
      </c>
      <c r="AK69" s="114">
        <f>1500+720</f>
        <v>2220</v>
      </c>
      <c r="AL69" s="114"/>
      <c r="AM69" s="114"/>
      <c r="AN69" s="114"/>
      <c r="AO69" s="114"/>
      <c r="AP69" s="114">
        <v>3517.5</v>
      </c>
      <c r="AQ69" s="114"/>
      <c r="AR69" s="114"/>
      <c r="AS69" s="114"/>
      <c r="AT69" s="114">
        <f>1880+5000</f>
        <v>6880</v>
      </c>
      <c r="AU69" s="114"/>
      <c r="AV69" s="114"/>
      <c r="AW69" s="114"/>
      <c r="AX69" s="114"/>
      <c r="AY69" s="114"/>
      <c r="AZ69" s="114"/>
      <c r="BA69" s="114">
        <v>43881.5</v>
      </c>
      <c r="BB69" s="114"/>
      <c r="BC69" s="114"/>
      <c r="BD69" s="114"/>
      <c r="BE69" s="142"/>
      <c r="BF69" s="142">
        <f>+BF70+BF72</f>
        <v>0</v>
      </c>
      <c r="BG69" s="114"/>
      <c r="BH69" s="114"/>
      <c r="BI69" s="114"/>
      <c r="BJ69" s="114">
        <v>1500</v>
      </c>
      <c r="BK69" s="114" t="s">
        <v>952</v>
      </c>
      <c r="BL69" s="99"/>
      <c r="BM69" s="99"/>
      <c r="BN69" s="99"/>
      <c r="BO69" s="99"/>
      <c r="BP69" s="99"/>
      <c r="BQ69" s="99"/>
      <c r="BR69" s="99"/>
      <c r="BS69" s="99"/>
      <c r="BT69" s="99"/>
      <c r="BU69" s="99"/>
      <c r="BV69" s="99"/>
      <c r="BW69" s="99">
        <v>250</v>
      </c>
      <c r="BX69" s="99"/>
      <c r="BY69" s="99"/>
      <c r="BZ69" s="99"/>
      <c r="CA69" s="99"/>
      <c r="CB69" s="99"/>
      <c r="CC69" s="99"/>
      <c r="CD69" s="99">
        <v>23900</v>
      </c>
      <c r="CE69" s="99"/>
      <c r="CF69" s="99"/>
      <c r="CG69" s="99"/>
      <c r="CH69" s="99"/>
      <c r="CI69" s="99"/>
      <c r="CJ69" s="99"/>
      <c r="CK69" s="99"/>
      <c r="CL69" s="99"/>
      <c r="CM69" s="99">
        <v>5000</v>
      </c>
      <c r="CN69" s="99"/>
      <c r="CO69" s="99">
        <v>5000</v>
      </c>
      <c r="CP69" s="99">
        <v>200</v>
      </c>
      <c r="CQ69" s="99"/>
      <c r="CR69" s="99"/>
      <c r="CS69" s="99">
        <v>111500</v>
      </c>
      <c r="CT69" s="99"/>
      <c r="CU69" s="99"/>
      <c r="CV69" s="99"/>
      <c r="CW69" s="99"/>
      <c r="CX69" s="99"/>
      <c r="CY69" s="99"/>
      <c r="CZ69" s="99"/>
      <c r="DA69" s="99"/>
      <c r="DB69" s="99"/>
      <c r="DC69" s="99"/>
      <c r="DD69" s="99"/>
      <c r="DE69" s="99"/>
      <c r="DF69" s="99"/>
      <c r="DG69" s="99"/>
      <c r="DH69" s="99"/>
      <c r="DI69" s="99"/>
      <c r="DJ69" s="99"/>
      <c r="DK69" s="99"/>
      <c r="DL69" s="99"/>
      <c r="DM69" s="99">
        <v>132000</v>
      </c>
      <c r="DN69" s="99"/>
      <c r="DO69" s="99"/>
      <c r="DP69" s="99"/>
      <c r="DQ69" s="99"/>
      <c r="DR69" s="99"/>
      <c r="DS69" s="99"/>
      <c r="DT69" s="99"/>
      <c r="DU69" s="99"/>
      <c r="DV69" s="99"/>
      <c r="DW69" s="99"/>
      <c r="DX69" s="99"/>
      <c r="DY69" s="99"/>
      <c r="DZ69" s="99"/>
      <c r="EA69" s="99"/>
      <c r="EB69" s="99"/>
      <c r="EC69" s="99"/>
      <c r="ED69" s="99"/>
      <c r="EE69" s="99"/>
      <c r="EF69" s="99"/>
      <c r="EG69" s="99"/>
      <c r="EH69" s="99"/>
      <c r="EI69" s="99">
        <v>91750</v>
      </c>
      <c r="EJ69" s="99"/>
      <c r="EK69" s="99"/>
      <c r="EL69" s="99"/>
      <c r="EM69" s="99"/>
      <c r="EN69" s="99"/>
      <c r="EO69" s="99"/>
      <c r="EP69" s="99"/>
      <c r="EQ69" s="99"/>
      <c r="ER69" s="99"/>
      <c r="ES69" s="99"/>
      <c r="ET69" s="99">
        <v>1500</v>
      </c>
      <c r="EU69" s="99"/>
      <c r="EV69" s="99">
        <v>700</v>
      </c>
      <c r="EW69" s="99"/>
      <c r="EX69" s="99"/>
      <c r="EY69" s="99"/>
      <c r="EZ69" s="99"/>
      <c r="FA69" s="99"/>
      <c r="FB69" s="99"/>
      <c r="FC69" s="99">
        <v>180</v>
      </c>
      <c r="FD69" s="99"/>
      <c r="FE69" s="99"/>
      <c r="FF69" s="99"/>
      <c r="FG69" s="99"/>
      <c r="FH69" s="99"/>
      <c r="FI69" s="99"/>
      <c r="FJ69" s="99"/>
      <c r="FK69" s="99">
        <v>125</v>
      </c>
      <c r="FL69" s="99"/>
      <c r="FM69" s="99"/>
      <c r="FN69" s="99"/>
      <c r="FO69" s="99"/>
      <c r="FP69" s="99"/>
      <c r="FQ69" s="99"/>
      <c r="FR69" s="99"/>
      <c r="FS69" s="99">
        <v>300</v>
      </c>
      <c r="FT69" s="99"/>
      <c r="FU69" s="99"/>
      <c r="FV69" s="99"/>
      <c r="FW69" s="99"/>
      <c r="FX69" s="99"/>
      <c r="FY69" s="99"/>
      <c r="FZ69" s="99"/>
      <c r="GA69" s="99"/>
      <c r="GB69" s="99"/>
      <c r="GC69" s="99"/>
      <c r="GD69" s="99"/>
      <c r="GE69" s="99"/>
      <c r="GF69" s="99"/>
      <c r="GG69" s="99"/>
      <c r="GH69" s="99">
        <v>2000</v>
      </c>
      <c r="GI69" s="99"/>
      <c r="GJ69" s="99"/>
      <c r="GK69" s="99"/>
      <c r="GL69" s="99"/>
      <c r="GM69" s="99"/>
      <c r="GN69" s="99"/>
      <c r="GO69" s="99"/>
      <c r="GP69" s="99"/>
      <c r="GQ69" s="99"/>
      <c r="GR69" s="99"/>
      <c r="GS69" s="99"/>
      <c r="GT69" s="99"/>
      <c r="GU69" s="99"/>
      <c r="GV69" s="99"/>
      <c r="GW69" s="99"/>
      <c r="GX69" s="99"/>
      <c r="GY69" s="99"/>
      <c r="GZ69" s="99"/>
      <c r="HA69" s="99">
        <v>150</v>
      </c>
      <c r="HB69" s="99"/>
      <c r="HC69" s="99"/>
      <c r="HD69" s="99"/>
      <c r="HE69" s="99"/>
      <c r="HF69" s="99"/>
      <c r="HG69" s="99"/>
      <c r="HH69" s="99"/>
      <c r="HI69" s="99">
        <v>12250</v>
      </c>
      <c r="HJ69" s="99"/>
      <c r="HK69" s="99"/>
      <c r="HL69" s="99"/>
      <c r="HM69" s="99"/>
      <c r="HN69" s="99"/>
      <c r="HO69" s="99"/>
      <c r="HP69" s="99"/>
      <c r="HQ69" s="99"/>
      <c r="HR69" s="99"/>
      <c r="HS69" s="99"/>
      <c r="HT69" s="99"/>
      <c r="HU69" s="99"/>
      <c r="HV69" s="99"/>
      <c r="HW69" s="99"/>
      <c r="HX69" s="99"/>
      <c r="HY69" s="99"/>
      <c r="HZ69" s="99"/>
      <c r="IA69" s="99"/>
      <c r="IB69" s="99"/>
      <c r="IC69" s="99"/>
      <c r="ID69" s="99">
        <v>7500</v>
      </c>
      <c r="IE69" s="99"/>
      <c r="IF69" s="99"/>
      <c r="IG69" s="99"/>
      <c r="IH69" s="99"/>
      <c r="II69" s="99"/>
      <c r="IJ69" s="99"/>
      <c r="IK69" s="99"/>
      <c r="IL69" s="99"/>
      <c r="IM69" s="99">
        <v>3500</v>
      </c>
      <c r="IN69" s="99"/>
      <c r="IO69" s="99"/>
      <c r="IP69" s="99"/>
      <c r="IQ69" s="99"/>
      <c r="IR69" s="99"/>
      <c r="IS69" s="99"/>
      <c r="IT69" s="99">
        <v>700</v>
      </c>
      <c r="IU69" s="99"/>
      <c r="IV69" s="99"/>
      <c r="IW69" s="99"/>
      <c r="IX69" s="99"/>
      <c r="IY69" s="99"/>
      <c r="IZ69" s="99"/>
      <c r="JA69" s="99"/>
      <c r="JB69" s="99"/>
      <c r="JC69" s="99"/>
      <c r="JD69" s="99"/>
      <c r="JE69" s="99"/>
      <c r="JF69" s="99"/>
      <c r="JG69" s="99"/>
      <c r="JH69" s="99"/>
      <c r="JI69" s="99">
        <v>45</v>
      </c>
      <c r="JJ69" s="99"/>
      <c r="JK69" s="99">
        <v>1099.5999999999999</v>
      </c>
      <c r="JL69" s="99"/>
      <c r="JM69" s="99"/>
      <c r="JN69" s="99"/>
      <c r="JO69" s="99"/>
      <c r="JP69" s="99"/>
      <c r="JQ69" s="99"/>
      <c r="JR69" s="99"/>
      <c r="JS69" s="99"/>
      <c r="JT69" s="99"/>
      <c r="JU69" s="99"/>
      <c r="JV69" s="99"/>
      <c r="JW69" s="99"/>
      <c r="JX69" s="99"/>
      <c r="JY69" s="99"/>
      <c r="JZ69" s="99">
        <v>15000</v>
      </c>
      <c r="KA69" s="99">
        <v>200</v>
      </c>
      <c r="KB69" s="99"/>
      <c r="KC69" s="99"/>
      <c r="KD69" s="99"/>
      <c r="KE69" s="99"/>
      <c r="KF69" s="99"/>
      <c r="KG69" s="99"/>
      <c r="KH69" s="99"/>
      <c r="KI69" s="99"/>
      <c r="KJ69" s="99">
        <v>5500</v>
      </c>
      <c r="KK69" s="99"/>
      <c r="KL69" s="99"/>
      <c r="KM69" s="99"/>
      <c r="KN69" s="99"/>
      <c r="KO69" s="99"/>
      <c r="KP69" s="99"/>
      <c r="KQ69" s="99"/>
      <c r="KR69" s="99"/>
      <c r="KS69" s="99"/>
      <c r="KT69" s="99"/>
      <c r="KU69" s="99"/>
      <c r="KV69" s="99"/>
      <c r="KW69" s="99"/>
      <c r="KX69" s="99">
        <v>5000</v>
      </c>
      <c r="KY69" s="99"/>
      <c r="KZ69" s="99"/>
      <c r="LA69" s="99"/>
      <c r="LB69" s="99"/>
      <c r="LC69" s="99"/>
      <c r="LD69" s="99"/>
      <c r="LE69" s="99"/>
      <c r="LF69" s="99"/>
      <c r="LG69" s="99"/>
      <c r="LH69" s="99"/>
      <c r="LI69" s="99"/>
      <c r="LJ69" s="99"/>
      <c r="LK69" s="99"/>
      <c r="LL69" s="99"/>
      <c r="LM69" s="99"/>
      <c r="LN69" s="99"/>
      <c r="LO69" s="99"/>
      <c r="LP69" s="99">
        <f>32500+1000</f>
        <v>33500</v>
      </c>
      <c r="LQ69" s="99"/>
      <c r="LR69" s="99"/>
      <c r="LS69" s="99"/>
      <c r="LT69" s="99">
        <v>25180.9</v>
      </c>
      <c r="LU69" s="99"/>
      <c r="LV69" s="99"/>
      <c r="LW69" s="99"/>
      <c r="LX69" s="99">
        <v>1250</v>
      </c>
      <c r="LY69" s="99"/>
      <c r="LZ69" s="99"/>
      <c r="MA69" s="99"/>
      <c r="MB69" s="99"/>
      <c r="MC69" s="99"/>
      <c r="MD69" s="99"/>
      <c r="ME69" s="99"/>
      <c r="MF69" s="99">
        <v>300</v>
      </c>
      <c r="MG69" s="99"/>
      <c r="MH69" s="99">
        <v>500</v>
      </c>
      <c r="MI69" s="99"/>
      <c r="MJ69" s="99">
        <v>1200</v>
      </c>
      <c r="MK69" s="99"/>
      <c r="ML69" s="99"/>
      <c r="MM69" s="99"/>
      <c r="MN69" s="99">
        <v>750</v>
      </c>
      <c r="MO69" s="99"/>
      <c r="MP69" s="99"/>
      <c r="MQ69" s="99"/>
      <c r="MR69" s="99"/>
      <c r="MS69" s="99">
        <v>1620</v>
      </c>
      <c r="MT69" s="99"/>
      <c r="MU69" s="99"/>
      <c r="MV69" s="99"/>
      <c r="MW69" s="99">
        <v>575</v>
      </c>
      <c r="MX69" s="99"/>
      <c r="MY69" s="99"/>
      <c r="MZ69" s="99">
        <v>500</v>
      </c>
      <c r="NA69" s="99"/>
      <c r="NB69" s="99"/>
      <c r="NC69" s="99"/>
      <c r="ND69" s="99"/>
      <c r="NE69" s="99"/>
      <c r="NF69" s="99"/>
      <c r="NG69" s="99"/>
      <c r="NH69" s="99"/>
      <c r="NI69" s="99"/>
      <c r="NJ69" s="99"/>
      <c r="NK69" s="99"/>
      <c r="NL69" s="99"/>
      <c r="NM69" s="99">
        <f>2227.5+1254</f>
        <v>3481.5</v>
      </c>
      <c r="NN69" s="99"/>
      <c r="NO69" s="99"/>
      <c r="NP69" s="99"/>
      <c r="NQ69" s="99"/>
      <c r="NR69" s="99"/>
      <c r="NS69" s="99"/>
      <c r="NT69" s="99"/>
      <c r="NU69" s="99"/>
      <c r="NV69" s="99"/>
      <c r="NW69" s="99"/>
      <c r="NX69" s="99">
        <v>350</v>
      </c>
      <c r="NY69" s="99"/>
      <c r="NZ69" s="99"/>
      <c r="OA69" s="99"/>
      <c r="OB69" s="99"/>
      <c r="OC69" s="99"/>
      <c r="OD69" s="99"/>
      <c r="OE69" s="99"/>
      <c r="OF69" s="99">
        <v>8100</v>
      </c>
      <c r="OG69" s="99"/>
      <c r="OH69" s="99"/>
      <c r="OI69" s="99"/>
      <c r="OJ69" s="99"/>
      <c r="OK69" s="99"/>
      <c r="OL69" s="99"/>
      <c r="OM69" s="99"/>
      <c r="ON69" s="99"/>
      <c r="OO69" s="99"/>
      <c r="OP69" s="99"/>
      <c r="OQ69" s="97">
        <f>+OQ70+OQ72</f>
        <v>0</v>
      </c>
      <c r="OR69" s="97">
        <f>+OR70+OR72</f>
        <v>0</v>
      </c>
      <c r="OS69" s="99">
        <v>990</v>
      </c>
      <c r="OT69" s="99"/>
      <c r="OU69" s="99"/>
      <c r="OV69" s="99"/>
      <c r="OW69" s="99"/>
      <c r="OX69" s="99"/>
      <c r="OY69" s="99"/>
      <c r="OZ69" s="99"/>
      <c r="PA69" s="99"/>
      <c r="PB69" s="99">
        <v>900</v>
      </c>
      <c r="PC69" s="99"/>
      <c r="PD69" s="99"/>
      <c r="PE69" s="99"/>
      <c r="PF69" s="99"/>
      <c r="PG69" s="99"/>
      <c r="PH69" s="99"/>
      <c r="PI69" s="99">
        <v>400</v>
      </c>
      <c r="PJ69" s="99"/>
      <c r="PK69" s="99"/>
      <c r="PL69" s="99"/>
      <c r="PM69" s="99"/>
      <c r="PN69" s="99"/>
      <c r="PO69" s="99"/>
      <c r="PP69" s="99"/>
      <c r="PQ69" s="99"/>
      <c r="PR69" s="99"/>
      <c r="PS69" s="99">
        <v>260</v>
      </c>
      <c r="PT69" s="99"/>
      <c r="PU69" s="99"/>
      <c r="PV69" s="99"/>
      <c r="PW69" s="99">
        <v>1000</v>
      </c>
      <c r="PX69" s="99"/>
      <c r="PY69" s="99"/>
      <c r="PZ69" s="99"/>
      <c r="QA69" s="99"/>
      <c r="QB69" s="99"/>
      <c r="QC69" s="99"/>
      <c r="QD69" s="99"/>
      <c r="QE69" s="99"/>
      <c r="QF69" s="99"/>
      <c r="QG69" s="99"/>
      <c r="QH69" s="99"/>
      <c r="QI69" s="99"/>
      <c r="QJ69" s="99"/>
      <c r="QK69" s="99"/>
      <c r="QL69" s="99"/>
      <c r="QM69" s="99">
        <v>2200</v>
      </c>
      <c r="QN69" s="99"/>
      <c r="QO69" s="99"/>
      <c r="QP69" s="99"/>
      <c r="QQ69" s="99"/>
      <c r="QR69" s="99"/>
      <c r="QS69" s="99"/>
      <c r="QT69" s="99"/>
      <c r="QU69" s="99"/>
      <c r="QV69" s="99"/>
      <c r="QW69" s="99"/>
      <c r="QX69" s="99"/>
      <c r="QY69" s="99"/>
      <c r="QZ69" s="99"/>
      <c r="RA69" s="99"/>
      <c r="RB69" s="99"/>
      <c r="RC69" s="99"/>
      <c r="RD69" s="99"/>
      <c r="RE69" s="99"/>
      <c r="RF69" s="99"/>
      <c r="RG69" s="99"/>
      <c r="RH69" s="99"/>
      <c r="RI69" s="99"/>
      <c r="RJ69" s="99"/>
      <c r="RK69" s="99"/>
      <c r="RL69" s="99"/>
      <c r="RM69" s="99"/>
      <c r="RN69" s="99"/>
    </row>
    <row r="70" spans="1:482" s="60" customFormat="1" ht="11.25" customHeight="1" x14ac:dyDescent="0.2">
      <c r="A70" s="182" t="s">
        <v>883</v>
      </c>
      <c r="B70" s="182"/>
      <c r="C70" s="182"/>
      <c r="D70" s="156">
        <f t="shared" ref="D70:AI70" si="301">SUM(D71:D78)</f>
        <v>5334763.2</v>
      </c>
      <c r="E70" s="142">
        <f t="shared" si="301"/>
        <v>17150</v>
      </c>
      <c r="F70" s="142">
        <f t="shared" si="301"/>
        <v>0</v>
      </c>
      <c r="G70" s="142">
        <f t="shared" si="301"/>
        <v>0</v>
      </c>
      <c r="H70" s="142">
        <f t="shared" si="301"/>
        <v>103400</v>
      </c>
      <c r="I70" s="142">
        <f t="shared" si="301"/>
        <v>3600</v>
      </c>
      <c r="J70" s="142">
        <f t="shared" si="301"/>
        <v>12829.9</v>
      </c>
      <c r="K70" s="142">
        <f t="shared" si="301"/>
        <v>0</v>
      </c>
      <c r="L70" s="142">
        <f t="shared" si="301"/>
        <v>0</v>
      </c>
      <c r="M70" s="142">
        <f t="shared" si="301"/>
        <v>0</v>
      </c>
      <c r="N70" s="142">
        <f t="shared" si="301"/>
        <v>0</v>
      </c>
      <c r="O70" s="142">
        <f t="shared" si="301"/>
        <v>0</v>
      </c>
      <c r="P70" s="142">
        <f t="shared" si="301"/>
        <v>0</v>
      </c>
      <c r="Q70" s="142">
        <f t="shared" si="301"/>
        <v>0</v>
      </c>
      <c r="R70" s="142">
        <f t="shared" si="301"/>
        <v>36000</v>
      </c>
      <c r="S70" s="142">
        <f t="shared" si="301"/>
        <v>1000</v>
      </c>
      <c r="T70" s="142">
        <f t="shared" si="301"/>
        <v>0</v>
      </c>
      <c r="U70" s="142">
        <f t="shared" si="301"/>
        <v>0</v>
      </c>
      <c r="V70" s="142">
        <f t="shared" si="301"/>
        <v>0</v>
      </c>
      <c r="W70" s="142">
        <f t="shared" si="301"/>
        <v>0</v>
      </c>
      <c r="X70" s="142">
        <f t="shared" si="301"/>
        <v>0</v>
      </c>
      <c r="Y70" s="142">
        <f t="shared" si="301"/>
        <v>28200</v>
      </c>
      <c r="Z70" s="142">
        <f t="shared" si="301"/>
        <v>0</v>
      </c>
      <c r="AA70" s="142">
        <f t="shared" si="301"/>
        <v>1000</v>
      </c>
      <c r="AB70" s="142">
        <f t="shared" si="301"/>
        <v>0</v>
      </c>
      <c r="AC70" s="142">
        <f t="shared" si="301"/>
        <v>9000</v>
      </c>
      <c r="AD70" s="142">
        <f t="shared" si="301"/>
        <v>0</v>
      </c>
      <c r="AE70" s="142">
        <f t="shared" si="301"/>
        <v>1985000</v>
      </c>
      <c r="AF70" s="142">
        <f t="shared" si="301"/>
        <v>46300</v>
      </c>
      <c r="AG70" s="142">
        <f t="shared" si="301"/>
        <v>0</v>
      </c>
      <c r="AH70" s="142">
        <f t="shared" si="301"/>
        <v>52000</v>
      </c>
      <c r="AI70" s="142">
        <f t="shared" si="301"/>
        <v>0</v>
      </c>
      <c r="AJ70" s="142">
        <f t="shared" ref="AJ70:BJ70" si="302">SUM(AJ71:AJ78)</f>
        <v>0</v>
      </c>
      <c r="AK70" s="142">
        <f t="shared" si="302"/>
        <v>106910</v>
      </c>
      <c r="AL70" s="142">
        <f t="shared" si="302"/>
        <v>0</v>
      </c>
      <c r="AM70" s="142">
        <f t="shared" si="302"/>
        <v>0</v>
      </c>
      <c r="AN70" s="142">
        <f t="shared" si="302"/>
        <v>1500</v>
      </c>
      <c r="AO70" s="142">
        <f t="shared" si="302"/>
        <v>0</v>
      </c>
      <c r="AP70" s="142">
        <f t="shared" si="302"/>
        <v>0</v>
      </c>
      <c r="AQ70" s="142">
        <f t="shared" si="302"/>
        <v>29986.5</v>
      </c>
      <c r="AR70" s="142">
        <f t="shared" si="302"/>
        <v>0</v>
      </c>
      <c r="AS70" s="142">
        <f t="shared" si="302"/>
        <v>10500</v>
      </c>
      <c r="AT70" s="142">
        <f t="shared" si="302"/>
        <v>901001.79999999993</v>
      </c>
      <c r="AU70" s="142">
        <f t="shared" si="302"/>
        <v>900</v>
      </c>
      <c r="AV70" s="142">
        <f t="shared" si="302"/>
        <v>0</v>
      </c>
      <c r="AW70" s="142">
        <f t="shared" si="302"/>
        <v>0</v>
      </c>
      <c r="AX70" s="142">
        <f t="shared" si="302"/>
        <v>4500</v>
      </c>
      <c r="AY70" s="142">
        <f t="shared" si="302"/>
        <v>0</v>
      </c>
      <c r="AZ70" s="142">
        <f t="shared" si="302"/>
        <v>2600</v>
      </c>
      <c r="BA70" s="142">
        <f t="shared" si="302"/>
        <v>44490</v>
      </c>
      <c r="BB70" s="142">
        <f t="shared" si="302"/>
        <v>20000</v>
      </c>
      <c r="BC70" s="142">
        <f t="shared" si="302"/>
        <v>30356.3</v>
      </c>
      <c r="BD70" s="142">
        <f t="shared" si="302"/>
        <v>31520.9</v>
      </c>
      <c r="BE70" s="142">
        <f t="shared" si="302"/>
        <v>27936.5</v>
      </c>
      <c r="BF70" s="142">
        <f t="shared" si="302"/>
        <v>0</v>
      </c>
      <c r="BG70" s="142">
        <f t="shared" si="302"/>
        <v>5600</v>
      </c>
      <c r="BH70" s="142">
        <f t="shared" si="302"/>
        <v>0</v>
      </c>
      <c r="BI70" s="142">
        <f t="shared" si="302"/>
        <v>0</v>
      </c>
      <c r="BJ70" s="142">
        <f t="shared" si="302"/>
        <v>6343.6</v>
      </c>
      <c r="BK70" s="142" t="s">
        <v>953</v>
      </c>
      <c r="BL70" s="97">
        <f t="shared" ref="BL70:CL70" si="303">SUM(BL71:BL78)</f>
        <v>0</v>
      </c>
      <c r="BM70" s="97">
        <f t="shared" si="303"/>
        <v>0</v>
      </c>
      <c r="BN70" s="97">
        <f t="shared" si="303"/>
        <v>0</v>
      </c>
      <c r="BO70" s="97">
        <f t="shared" si="303"/>
        <v>0</v>
      </c>
      <c r="BP70" s="97">
        <f t="shared" si="303"/>
        <v>0</v>
      </c>
      <c r="BQ70" s="97">
        <f t="shared" si="303"/>
        <v>0</v>
      </c>
      <c r="BR70" s="97">
        <f t="shared" si="303"/>
        <v>0</v>
      </c>
      <c r="BS70" s="97">
        <f t="shared" si="303"/>
        <v>0</v>
      </c>
      <c r="BT70" s="97">
        <f t="shared" si="303"/>
        <v>0</v>
      </c>
      <c r="BU70" s="97">
        <f t="shared" si="303"/>
        <v>0</v>
      </c>
      <c r="BV70" s="97">
        <f t="shared" si="303"/>
        <v>0</v>
      </c>
      <c r="BW70" s="97">
        <f t="shared" si="303"/>
        <v>0</v>
      </c>
      <c r="BX70" s="97">
        <f t="shared" si="303"/>
        <v>0</v>
      </c>
      <c r="BY70" s="97">
        <f t="shared" si="303"/>
        <v>0</v>
      </c>
      <c r="BZ70" s="97">
        <f t="shared" si="303"/>
        <v>9300</v>
      </c>
      <c r="CA70" s="97">
        <f t="shared" si="303"/>
        <v>0</v>
      </c>
      <c r="CB70" s="97">
        <f t="shared" si="303"/>
        <v>0</v>
      </c>
      <c r="CC70" s="97">
        <f t="shared" si="303"/>
        <v>23500</v>
      </c>
      <c r="CD70" s="97">
        <f t="shared" si="303"/>
        <v>750</v>
      </c>
      <c r="CE70" s="97">
        <f t="shared" si="303"/>
        <v>500</v>
      </c>
      <c r="CF70" s="97">
        <f t="shared" si="303"/>
        <v>0</v>
      </c>
      <c r="CG70" s="97">
        <f t="shared" si="303"/>
        <v>0</v>
      </c>
      <c r="CH70" s="97">
        <f t="shared" si="303"/>
        <v>0</v>
      </c>
      <c r="CI70" s="97">
        <f t="shared" si="303"/>
        <v>0</v>
      </c>
      <c r="CJ70" s="97">
        <f t="shared" si="303"/>
        <v>0</v>
      </c>
      <c r="CK70" s="97">
        <f t="shared" si="303"/>
        <v>1000</v>
      </c>
      <c r="CL70" s="97">
        <f t="shared" si="303"/>
        <v>0</v>
      </c>
      <c r="CM70" s="97">
        <f t="shared" ref="CM70:DR70" si="304">SUM(CM71:CM78)</f>
        <v>0</v>
      </c>
      <c r="CN70" s="97">
        <f t="shared" si="304"/>
        <v>0</v>
      </c>
      <c r="CO70" s="97">
        <f t="shared" si="304"/>
        <v>0</v>
      </c>
      <c r="CP70" s="97">
        <f t="shared" si="304"/>
        <v>50000</v>
      </c>
      <c r="CQ70" s="97">
        <f t="shared" si="304"/>
        <v>0</v>
      </c>
      <c r="CR70" s="97">
        <f t="shared" si="304"/>
        <v>0</v>
      </c>
      <c r="CS70" s="97">
        <f t="shared" si="304"/>
        <v>216602.19999999998</v>
      </c>
      <c r="CT70" s="97">
        <f t="shared" si="304"/>
        <v>0</v>
      </c>
      <c r="CU70" s="97">
        <f t="shared" si="304"/>
        <v>0</v>
      </c>
      <c r="CV70" s="97">
        <f t="shared" si="304"/>
        <v>0</v>
      </c>
      <c r="CW70" s="97">
        <f t="shared" si="304"/>
        <v>0</v>
      </c>
      <c r="CX70" s="97">
        <f t="shared" si="304"/>
        <v>0</v>
      </c>
      <c r="CY70" s="97">
        <f t="shared" si="304"/>
        <v>0</v>
      </c>
      <c r="CZ70" s="97">
        <f t="shared" si="304"/>
        <v>0</v>
      </c>
      <c r="DA70" s="97">
        <f t="shared" si="304"/>
        <v>0</v>
      </c>
      <c r="DB70" s="97">
        <f t="shared" si="304"/>
        <v>0</v>
      </c>
      <c r="DC70" s="97">
        <f t="shared" si="304"/>
        <v>0</v>
      </c>
      <c r="DD70" s="97">
        <f t="shared" si="304"/>
        <v>0</v>
      </c>
      <c r="DE70" s="97">
        <f t="shared" si="304"/>
        <v>0</v>
      </c>
      <c r="DF70" s="97">
        <f t="shared" si="304"/>
        <v>0</v>
      </c>
      <c r="DG70" s="97">
        <f t="shared" si="304"/>
        <v>0</v>
      </c>
      <c r="DH70" s="97">
        <f t="shared" si="304"/>
        <v>0</v>
      </c>
      <c r="DI70" s="97">
        <f t="shared" si="304"/>
        <v>0</v>
      </c>
      <c r="DJ70" s="97">
        <f t="shared" si="304"/>
        <v>0</v>
      </c>
      <c r="DK70" s="97">
        <f t="shared" si="304"/>
        <v>0</v>
      </c>
      <c r="DL70" s="97">
        <f t="shared" si="304"/>
        <v>0</v>
      </c>
      <c r="DM70" s="97">
        <f t="shared" si="304"/>
        <v>35000</v>
      </c>
      <c r="DN70" s="97">
        <f t="shared" si="304"/>
        <v>0</v>
      </c>
      <c r="DO70" s="97">
        <f t="shared" si="304"/>
        <v>1000</v>
      </c>
      <c r="DP70" s="97">
        <f t="shared" si="304"/>
        <v>0</v>
      </c>
      <c r="DQ70" s="97">
        <f t="shared" si="304"/>
        <v>0</v>
      </c>
      <c r="DR70" s="97">
        <f t="shared" si="304"/>
        <v>0</v>
      </c>
      <c r="DS70" s="97">
        <f t="shared" ref="DS70:EV70" si="305">SUM(DS71:DS78)</f>
        <v>0</v>
      </c>
      <c r="DT70" s="97">
        <f t="shared" si="305"/>
        <v>0</v>
      </c>
      <c r="DU70" s="97">
        <f t="shared" si="305"/>
        <v>0</v>
      </c>
      <c r="DV70" s="97">
        <f t="shared" si="305"/>
        <v>118008.8</v>
      </c>
      <c r="DW70" s="97">
        <f t="shared" si="305"/>
        <v>0</v>
      </c>
      <c r="DX70" s="106">
        <f t="shared" si="305"/>
        <v>0</v>
      </c>
      <c r="DY70" s="97">
        <f t="shared" si="305"/>
        <v>0</v>
      </c>
      <c r="DZ70" s="97">
        <f t="shared" si="305"/>
        <v>0</v>
      </c>
      <c r="EA70" s="97">
        <f t="shared" si="305"/>
        <v>0</v>
      </c>
      <c r="EB70" s="97">
        <f t="shared" si="305"/>
        <v>60000</v>
      </c>
      <c r="EC70" s="97">
        <f t="shared" si="305"/>
        <v>0</v>
      </c>
      <c r="ED70" s="97">
        <f t="shared" si="305"/>
        <v>0</v>
      </c>
      <c r="EE70" s="97">
        <f t="shared" si="305"/>
        <v>0</v>
      </c>
      <c r="EF70" s="97">
        <f t="shared" si="305"/>
        <v>0</v>
      </c>
      <c r="EG70" s="97">
        <f t="shared" si="305"/>
        <v>0</v>
      </c>
      <c r="EH70" s="97">
        <f t="shared" si="305"/>
        <v>0</v>
      </c>
      <c r="EI70" s="97">
        <f t="shared" si="305"/>
        <v>0</v>
      </c>
      <c r="EJ70" s="97">
        <f t="shared" si="305"/>
        <v>0</v>
      </c>
      <c r="EK70" s="97">
        <f>SUM(EK71:EK78)</f>
        <v>0</v>
      </c>
      <c r="EL70" s="97">
        <f t="shared" si="305"/>
        <v>0</v>
      </c>
      <c r="EM70" s="97">
        <f t="shared" si="305"/>
        <v>0</v>
      </c>
      <c r="EN70" s="97">
        <f t="shared" si="305"/>
        <v>0</v>
      </c>
      <c r="EO70" s="97">
        <f t="shared" si="305"/>
        <v>0</v>
      </c>
      <c r="EP70" s="97">
        <f t="shared" si="305"/>
        <v>0</v>
      </c>
      <c r="EQ70" s="97">
        <f t="shared" si="305"/>
        <v>4950.8</v>
      </c>
      <c r="ER70" s="97">
        <f t="shared" si="305"/>
        <v>0</v>
      </c>
      <c r="ES70" s="97">
        <f t="shared" si="305"/>
        <v>0</v>
      </c>
      <c r="ET70" s="97">
        <f t="shared" si="305"/>
        <v>0</v>
      </c>
      <c r="EU70" s="97">
        <f t="shared" si="305"/>
        <v>0</v>
      </c>
      <c r="EV70" s="97">
        <f t="shared" si="305"/>
        <v>1500</v>
      </c>
      <c r="EW70" s="97">
        <f t="shared" ref="EW70:OV70" si="306">SUM(EW71:EW78)</f>
        <v>0</v>
      </c>
      <c r="EX70" s="97">
        <f t="shared" si="306"/>
        <v>0</v>
      </c>
      <c r="EY70" s="97">
        <f t="shared" si="306"/>
        <v>0</v>
      </c>
      <c r="EZ70" s="97">
        <f>SUM(EZ71:EZ78)</f>
        <v>0</v>
      </c>
      <c r="FA70" s="97">
        <f>SUM(FA71:FA78)</f>
        <v>0</v>
      </c>
      <c r="FB70" s="97">
        <f>SUM(FB71:FB78)</f>
        <v>0</v>
      </c>
      <c r="FC70" s="97">
        <f>SUM(FC71:FC78)</f>
        <v>0</v>
      </c>
      <c r="FD70" s="97">
        <f t="shared" si="306"/>
        <v>0</v>
      </c>
      <c r="FE70" s="97">
        <f t="shared" si="306"/>
        <v>0</v>
      </c>
      <c r="FF70" s="97">
        <f t="shared" ref="FF70:GR70" si="307">SUM(FF71:FF78)</f>
        <v>0</v>
      </c>
      <c r="FG70" s="97">
        <f t="shared" si="307"/>
        <v>0</v>
      </c>
      <c r="FH70" s="97">
        <f t="shared" si="307"/>
        <v>23909.3</v>
      </c>
      <c r="FI70" s="97">
        <f t="shared" si="307"/>
        <v>0</v>
      </c>
      <c r="FJ70" s="97">
        <f t="shared" si="307"/>
        <v>0</v>
      </c>
      <c r="FK70" s="97">
        <f t="shared" si="307"/>
        <v>0</v>
      </c>
      <c r="FL70" s="97">
        <f t="shared" si="307"/>
        <v>0</v>
      </c>
      <c r="FM70" s="97">
        <f t="shared" si="307"/>
        <v>3000</v>
      </c>
      <c r="FN70" s="97">
        <f t="shared" si="307"/>
        <v>0</v>
      </c>
      <c r="FO70" s="97">
        <f t="shared" si="307"/>
        <v>0</v>
      </c>
      <c r="FP70" s="97">
        <f t="shared" si="307"/>
        <v>0</v>
      </c>
      <c r="FQ70" s="97">
        <f t="shared" si="307"/>
        <v>0</v>
      </c>
      <c r="FR70" s="97">
        <f t="shared" si="307"/>
        <v>0</v>
      </c>
      <c r="FS70" s="97">
        <f t="shared" si="307"/>
        <v>0</v>
      </c>
      <c r="FT70" s="97">
        <f t="shared" si="307"/>
        <v>0</v>
      </c>
      <c r="FU70" s="97">
        <f t="shared" si="307"/>
        <v>0</v>
      </c>
      <c r="FV70" s="97">
        <f t="shared" si="307"/>
        <v>0</v>
      </c>
      <c r="FW70" s="97">
        <f t="shared" si="307"/>
        <v>0</v>
      </c>
      <c r="FX70" s="97">
        <f t="shared" si="307"/>
        <v>0</v>
      </c>
      <c r="FY70" s="97">
        <f t="shared" si="307"/>
        <v>0</v>
      </c>
      <c r="FZ70" s="97">
        <f t="shared" si="307"/>
        <v>0</v>
      </c>
      <c r="GA70" s="97">
        <f t="shared" si="307"/>
        <v>0</v>
      </c>
      <c r="GB70" s="97">
        <f t="shared" si="307"/>
        <v>0</v>
      </c>
      <c r="GC70" s="97">
        <f t="shared" si="307"/>
        <v>0</v>
      </c>
      <c r="GD70" s="97">
        <f t="shared" si="307"/>
        <v>0</v>
      </c>
      <c r="GE70" s="97">
        <f t="shared" si="307"/>
        <v>0</v>
      </c>
      <c r="GF70" s="97">
        <f t="shared" si="307"/>
        <v>0</v>
      </c>
      <c r="GG70" s="97">
        <f t="shared" si="307"/>
        <v>0</v>
      </c>
      <c r="GH70" s="97">
        <f t="shared" si="307"/>
        <v>0</v>
      </c>
      <c r="GI70" s="97">
        <f t="shared" si="307"/>
        <v>0</v>
      </c>
      <c r="GJ70" s="97">
        <f t="shared" si="307"/>
        <v>0</v>
      </c>
      <c r="GK70" s="97">
        <f t="shared" si="307"/>
        <v>0</v>
      </c>
      <c r="GL70" s="97">
        <f t="shared" si="307"/>
        <v>0</v>
      </c>
      <c r="GM70" s="97">
        <f t="shared" si="307"/>
        <v>0</v>
      </c>
      <c r="GN70" s="97">
        <f t="shared" si="307"/>
        <v>0</v>
      </c>
      <c r="GO70" s="97">
        <f t="shared" si="307"/>
        <v>0</v>
      </c>
      <c r="GP70" s="97">
        <f t="shared" si="307"/>
        <v>0</v>
      </c>
      <c r="GQ70" s="97">
        <f t="shared" si="307"/>
        <v>0</v>
      </c>
      <c r="GR70" s="97">
        <f t="shared" si="307"/>
        <v>0</v>
      </c>
      <c r="GS70" s="97">
        <f t="shared" si="306"/>
        <v>0</v>
      </c>
      <c r="GT70" s="97">
        <f t="shared" ref="GT70:HG70" si="308">SUM(GT71:GT78)</f>
        <v>0</v>
      </c>
      <c r="GU70" s="97">
        <f t="shared" si="308"/>
        <v>0</v>
      </c>
      <c r="GV70" s="97">
        <f t="shared" si="308"/>
        <v>0</v>
      </c>
      <c r="GW70" s="97">
        <f t="shared" si="308"/>
        <v>0</v>
      </c>
      <c r="GX70" s="97">
        <f t="shared" si="308"/>
        <v>0</v>
      </c>
      <c r="GY70" s="97">
        <f t="shared" si="308"/>
        <v>0</v>
      </c>
      <c r="GZ70" s="97">
        <f t="shared" si="308"/>
        <v>0</v>
      </c>
      <c r="HA70" s="97">
        <f t="shared" si="308"/>
        <v>0</v>
      </c>
      <c r="HB70" s="97">
        <f t="shared" si="308"/>
        <v>0</v>
      </c>
      <c r="HC70" s="97">
        <f t="shared" si="308"/>
        <v>0</v>
      </c>
      <c r="HD70" s="97">
        <f t="shared" si="308"/>
        <v>0</v>
      </c>
      <c r="HE70" s="97">
        <f t="shared" si="308"/>
        <v>2500</v>
      </c>
      <c r="HF70" s="97">
        <f t="shared" si="308"/>
        <v>0</v>
      </c>
      <c r="HG70" s="97">
        <f t="shared" si="308"/>
        <v>0</v>
      </c>
      <c r="HH70" s="97">
        <f t="shared" si="306"/>
        <v>0</v>
      </c>
      <c r="HI70" s="97">
        <f t="shared" ref="HI70:IN70" si="309">SUM(HI71:HI78)</f>
        <v>0</v>
      </c>
      <c r="HJ70" s="97">
        <f t="shared" si="309"/>
        <v>0</v>
      </c>
      <c r="HK70" s="97">
        <f t="shared" si="309"/>
        <v>0</v>
      </c>
      <c r="HL70" s="97">
        <f t="shared" si="309"/>
        <v>0</v>
      </c>
      <c r="HM70" s="97">
        <f t="shared" si="309"/>
        <v>0</v>
      </c>
      <c r="HN70" s="97">
        <f t="shared" si="309"/>
        <v>0</v>
      </c>
      <c r="HO70" s="97">
        <f t="shared" si="309"/>
        <v>0</v>
      </c>
      <c r="HP70" s="97">
        <f t="shared" si="309"/>
        <v>0</v>
      </c>
      <c r="HQ70" s="97">
        <f t="shared" si="309"/>
        <v>0</v>
      </c>
      <c r="HR70" s="97">
        <f t="shared" si="309"/>
        <v>0</v>
      </c>
      <c r="HS70" s="97">
        <f t="shared" si="309"/>
        <v>0</v>
      </c>
      <c r="HT70" s="97">
        <f t="shared" si="309"/>
        <v>0</v>
      </c>
      <c r="HU70" s="97">
        <f t="shared" si="309"/>
        <v>0</v>
      </c>
      <c r="HV70" s="97">
        <f t="shared" si="309"/>
        <v>0</v>
      </c>
      <c r="HW70" s="97">
        <f t="shared" si="309"/>
        <v>0</v>
      </c>
      <c r="HX70" s="97">
        <f t="shared" si="309"/>
        <v>0</v>
      </c>
      <c r="HY70" s="97">
        <f t="shared" si="309"/>
        <v>0</v>
      </c>
      <c r="HZ70" s="97">
        <f t="shared" si="309"/>
        <v>0</v>
      </c>
      <c r="IA70" s="97">
        <f t="shared" si="309"/>
        <v>0</v>
      </c>
      <c r="IB70" s="97">
        <f t="shared" si="309"/>
        <v>0</v>
      </c>
      <c r="IC70" s="97">
        <f t="shared" si="309"/>
        <v>0</v>
      </c>
      <c r="ID70" s="97">
        <f t="shared" si="309"/>
        <v>10798</v>
      </c>
      <c r="IE70" s="97">
        <f t="shared" si="309"/>
        <v>0</v>
      </c>
      <c r="IF70" s="97">
        <f t="shared" si="309"/>
        <v>0</v>
      </c>
      <c r="IG70" s="97">
        <f t="shared" si="309"/>
        <v>0</v>
      </c>
      <c r="IH70" s="97">
        <f t="shared" si="309"/>
        <v>0</v>
      </c>
      <c r="II70" s="97">
        <f t="shared" si="309"/>
        <v>0</v>
      </c>
      <c r="IJ70" s="97">
        <f t="shared" si="309"/>
        <v>38650</v>
      </c>
      <c r="IK70" s="97">
        <f t="shared" si="309"/>
        <v>0</v>
      </c>
      <c r="IL70" s="97">
        <f t="shared" si="309"/>
        <v>0</v>
      </c>
      <c r="IM70" s="97">
        <f t="shared" si="309"/>
        <v>22280</v>
      </c>
      <c r="IN70" s="97">
        <f t="shared" si="309"/>
        <v>0</v>
      </c>
      <c r="IO70" s="97">
        <f t="shared" ref="IO70:JT70" si="310">SUM(IO71:IO78)</f>
        <v>0</v>
      </c>
      <c r="IP70" s="97">
        <f t="shared" si="310"/>
        <v>0</v>
      </c>
      <c r="IQ70" s="97">
        <f t="shared" si="310"/>
        <v>0</v>
      </c>
      <c r="IR70" s="97">
        <f t="shared" si="310"/>
        <v>0</v>
      </c>
      <c r="IS70" s="97">
        <f t="shared" si="310"/>
        <v>0</v>
      </c>
      <c r="IT70" s="97">
        <f t="shared" si="310"/>
        <v>0</v>
      </c>
      <c r="IU70" s="97">
        <f t="shared" si="310"/>
        <v>0</v>
      </c>
      <c r="IV70" s="97">
        <f t="shared" si="310"/>
        <v>0</v>
      </c>
      <c r="IW70" s="97">
        <f t="shared" si="310"/>
        <v>0</v>
      </c>
      <c r="IX70" s="97">
        <f t="shared" si="310"/>
        <v>0</v>
      </c>
      <c r="IY70" s="97">
        <f t="shared" si="310"/>
        <v>0</v>
      </c>
      <c r="IZ70" s="97">
        <f t="shared" si="310"/>
        <v>0</v>
      </c>
      <c r="JA70" s="97">
        <f t="shared" si="310"/>
        <v>0</v>
      </c>
      <c r="JB70" s="97">
        <f t="shared" si="310"/>
        <v>0</v>
      </c>
      <c r="JC70" s="97">
        <f t="shared" si="310"/>
        <v>0</v>
      </c>
      <c r="JD70" s="97">
        <f t="shared" si="310"/>
        <v>0</v>
      </c>
      <c r="JE70" s="97">
        <f t="shared" si="310"/>
        <v>0</v>
      </c>
      <c r="JF70" s="97">
        <f t="shared" si="310"/>
        <v>0</v>
      </c>
      <c r="JG70" s="97">
        <f t="shared" si="310"/>
        <v>0</v>
      </c>
      <c r="JH70" s="97">
        <f t="shared" si="310"/>
        <v>0</v>
      </c>
      <c r="JI70" s="97">
        <f t="shared" si="310"/>
        <v>0</v>
      </c>
      <c r="JJ70" s="97">
        <f t="shared" si="310"/>
        <v>0</v>
      </c>
      <c r="JK70" s="97">
        <f t="shared" si="310"/>
        <v>0</v>
      </c>
      <c r="JL70" s="97">
        <f t="shared" si="310"/>
        <v>0</v>
      </c>
      <c r="JM70" s="97">
        <f t="shared" si="310"/>
        <v>2000</v>
      </c>
      <c r="JN70" s="97">
        <f t="shared" si="310"/>
        <v>0</v>
      </c>
      <c r="JO70" s="97">
        <f t="shared" si="310"/>
        <v>0</v>
      </c>
      <c r="JP70" s="97">
        <f t="shared" si="310"/>
        <v>0</v>
      </c>
      <c r="JQ70" s="97">
        <f t="shared" si="310"/>
        <v>0</v>
      </c>
      <c r="JR70" s="97">
        <f t="shared" si="310"/>
        <v>0</v>
      </c>
      <c r="JS70" s="97">
        <f t="shared" si="310"/>
        <v>0</v>
      </c>
      <c r="JT70" s="97">
        <f t="shared" si="310"/>
        <v>0</v>
      </c>
      <c r="JU70" s="97">
        <f t="shared" ref="JU70:KZ70" si="311">SUM(JU71:JU78)</f>
        <v>0</v>
      </c>
      <c r="JV70" s="97">
        <f t="shared" si="311"/>
        <v>0</v>
      </c>
      <c r="JW70" s="97">
        <f t="shared" si="311"/>
        <v>3000</v>
      </c>
      <c r="JX70" s="97">
        <f t="shared" si="311"/>
        <v>0</v>
      </c>
      <c r="JY70" s="97">
        <f t="shared" si="311"/>
        <v>0</v>
      </c>
      <c r="JZ70" s="97">
        <f t="shared" si="311"/>
        <v>0</v>
      </c>
      <c r="KA70" s="97">
        <f t="shared" si="311"/>
        <v>5835.1</v>
      </c>
      <c r="KB70" s="97">
        <f t="shared" si="311"/>
        <v>0</v>
      </c>
      <c r="KC70" s="97">
        <f t="shared" si="311"/>
        <v>0</v>
      </c>
      <c r="KD70" s="97">
        <f t="shared" si="311"/>
        <v>0</v>
      </c>
      <c r="KE70" s="97">
        <f t="shared" si="311"/>
        <v>0</v>
      </c>
      <c r="KF70" s="97">
        <f t="shared" si="311"/>
        <v>0</v>
      </c>
      <c r="KG70" s="97">
        <f t="shared" si="311"/>
        <v>0</v>
      </c>
      <c r="KH70" s="97">
        <f t="shared" si="311"/>
        <v>0</v>
      </c>
      <c r="KI70" s="97">
        <f t="shared" si="311"/>
        <v>0</v>
      </c>
      <c r="KJ70" s="97">
        <f t="shared" si="311"/>
        <v>836745.6</v>
      </c>
      <c r="KK70" s="97">
        <f t="shared" si="311"/>
        <v>0</v>
      </c>
      <c r="KL70" s="97">
        <f t="shared" si="311"/>
        <v>0</v>
      </c>
      <c r="KM70" s="97">
        <f t="shared" si="311"/>
        <v>0</v>
      </c>
      <c r="KN70" s="97">
        <f t="shared" si="311"/>
        <v>0</v>
      </c>
      <c r="KO70" s="97">
        <f t="shared" si="311"/>
        <v>0</v>
      </c>
      <c r="KP70" s="97">
        <f t="shared" si="311"/>
        <v>0</v>
      </c>
      <c r="KQ70" s="97">
        <f t="shared" si="311"/>
        <v>0</v>
      </c>
      <c r="KR70" s="97">
        <f t="shared" si="311"/>
        <v>45115</v>
      </c>
      <c r="KS70" s="97">
        <f t="shared" si="311"/>
        <v>0</v>
      </c>
      <c r="KT70" s="97">
        <f t="shared" si="311"/>
        <v>0</v>
      </c>
      <c r="KU70" s="97">
        <f t="shared" si="311"/>
        <v>0</v>
      </c>
      <c r="KV70" s="97">
        <f t="shared" si="311"/>
        <v>0</v>
      </c>
      <c r="KW70" s="97">
        <f t="shared" si="311"/>
        <v>0</v>
      </c>
      <c r="KX70" s="97">
        <f t="shared" si="311"/>
        <v>37300</v>
      </c>
      <c r="KY70" s="97">
        <f t="shared" si="311"/>
        <v>0</v>
      </c>
      <c r="KZ70" s="97">
        <f t="shared" si="311"/>
        <v>0</v>
      </c>
      <c r="LA70" s="97">
        <f t="shared" ref="LA70:OT70" si="312">SUM(LA71:LA78)</f>
        <v>0</v>
      </c>
      <c r="LB70" s="97">
        <f t="shared" si="312"/>
        <v>1000</v>
      </c>
      <c r="LC70" s="97">
        <f t="shared" ref="LC70:LJ70" si="313">SUM(LC71:LC78)</f>
        <v>0</v>
      </c>
      <c r="LD70" s="97">
        <f t="shared" si="313"/>
        <v>0</v>
      </c>
      <c r="LE70" s="97">
        <f t="shared" si="313"/>
        <v>0</v>
      </c>
      <c r="LF70" s="97">
        <f t="shared" si="313"/>
        <v>0</v>
      </c>
      <c r="LG70" s="97">
        <f t="shared" si="313"/>
        <v>0</v>
      </c>
      <c r="LH70" s="97">
        <f t="shared" si="313"/>
        <v>0</v>
      </c>
      <c r="LI70" s="97">
        <f t="shared" si="313"/>
        <v>0</v>
      </c>
      <c r="LJ70" s="97">
        <f t="shared" si="313"/>
        <v>0</v>
      </c>
      <c r="LK70" s="97">
        <f t="shared" ref="LK70:LQ70" si="314">SUM(LK71:LK78)</f>
        <v>0</v>
      </c>
      <c r="LL70" s="97">
        <f t="shared" si="314"/>
        <v>0</v>
      </c>
      <c r="LM70" s="97">
        <f>SUM(LM71:LM78)</f>
        <v>0</v>
      </c>
      <c r="LN70" s="97">
        <f>SUM(LN71:LN78)</f>
        <v>0</v>
      </c>
      <c r="LO70" s="97">
        <f t="shared" si="314"/>
        <v>0</v>
      </c>
      <c r="LP70" s="97">
        <f t="shared" si="314"/>
        <v>0</v>
      </c>
      <c r="LQ70" s="97">
        <f t="shared" si="314"/>
        <v>900</v>
      </c>
      <c r="LR70" s="97">
        <f t="shared" ref="LR70:MW70" si="315">SUM(LR71:LR78)</f>
        <v>0</v>
      </c>
      <c r="LS70" s="97">
        <f t="shared" si="315"/>
        <v>0</v>
      </c>
      <c r="LT70" s="97">
        <f t="shared" si="315"/>
        <v>0</v>
      </c>
      <c r="LU70" s="97">
        <f t="shared" si="315"/>
        <v>300</v>
      </c>
      <c r="LV70" s="97">
        <f t="shared" si="315"/>
        <v>87150</v>
      </c>
      <c r="LW70" s="97">
        <f t="shared" si="315"/>
        <v>0</v>
      </c>
      <c r="LX70" s="97">
        <f t="shared" si="315"/>
        <v>4250</v>
      </c>
      <c r="LY70" s="97">
        <f t="shared" si="315"/>
        <v>0</v>
      </c>
      <c r="LZ70" s="97">
        <f t="shared" si="315"/>
        <v>0</v>
      </c>
      <c r="MA70" s="97">
        <f t="shared" si="315"/>
        <v>0</v>
      </c>
      <c r="MB70" s="97">
        <f t="shared" si="315"/>
        <v>0</v>
      </c>
      <c r="MC70" s="97">
        <f t="shared" si="315"/>
        <v>0</v>
      </c>
      <c r="MD70" s="97">
        <f t="shared" si="315"/>
        <v>900</v>
      </c>
      <c r="ME70" s="97">
        <f t="shared" si="315"/>
        <v>0</v>
      </c>
      <c r="MF70" s="97">
        <f t="shared" si="315"/>
        <v>1000</v>
      </c>
      <c r="MG70" s="97">
        <f t="shared" si="315"/>
        <v>0</v>
      </c>
      <c r="MH70" s="97">
        <f t="shared" si="315"/>
        <v>0</v>
      </c>
      <c r="MI70" s="97">
        <f t="shared" si="315"/>
        <v>0</v>
      </c>
      <c r="MJ70" s="97">
        <f t="shared" si="315"/>
        <v>0</v>
      </c>
      <c r="MK70" s="97">
        <f t="shared" si="315"/>
        <v>0</v>
      </c>
      <c r="ML70" s="97">
        <f t="shared" si="315"/>
        <v>0</v>
      </c>
      <c r="MM70" s="97">
        <f t="shared" si="315"/>
        <v>5000</v>
      </c>
      <c r="MN70" s="97">
        <f t="shared" si="315"/>
        <v>0</v>
      </c>
      <c r="MO70" s="97">
        <f t="shared" si="315"/>
        <v>0</v>
      </c>
      <c r="MP70" s="97">
        <f t="shared" si="315"/>
        <v>0</v>
      </c>
      <c r="MQ70" s="97">
        <f t="shared" si="315"/>
        <v>0</v>
      </c>
      <c r="MR70" s="97">
        <f t="shared" si="315"/>
        <v>0</v>
      </c>
      <c r="MS70" s="97">
        <f t="shared" si="315"/>
        <v>2000</v>
      </c>
      <c r="MT70" s="97">
        <f t="shared" si="315"/>
        <v>0</v>
      </c>
      <c r="MU70" s="97">
        <f t="shared" si="315"/>
        <v>0</v>
      </c>
      <c r="MV70" s="97">
        <f t="shared" si="315"/>
        <v>0</v>
      </c>
      <c r="MW70" s="97">
        <f t="shared" si="315"/>
        <v>0</v>
      </c>
      <c r="MX70" s="97">
        <f t="shared" ref="MX70:OC70" si="316">SUM(MX71:MX78)</f>
        <v>18243.099999999999</v>
      </c>
      <c r="MY70" s="97">
        <f t="shared" si="316"/>
        <v>0</v>
      </c>
      <c r="MZ70" s="97">
        <f t="shared" si="316"/>
        <v>0</v>
      </c>
      <c r="NA70" s="97">
        <f t="shared" si="316"/>
        <v>0</v>
      </c>
      <c r="NB70" s="97">
        <f t="shared" si="316"/>
        <v>1000</v>
      </c>
      <c r="NC70" s="97">
        <f t="shared" si="316"/>
        <v>0</v>
      </c>
      <c r="ND70" s="97">
        <f t="shared" si="316"/>
        <v>0</v>
      </c>
      <c r="NE70" s="97">
        <f t="shared" si="316"/>
        <v>0</v>
      </c>
      <c r="NF70" s="97">
        <f t="shared" si="316"/>
        <v>0</v>
      </c>
      <c r="NG70" s="97">
        <f t="shared" si="316"/>
        <v>0</v>
      </c>
      <c r="NH70" s="97">
        <f t="shared" si="316"/>
        <v>0</v>
      </c>
      <c r="NI70" s="97">
        <f t="shared" si="316"/>
        <v>0</v>
      </c>
      <c r="NJ70" s="97">
        <f t="shared" si="316"/>
        <v>0</v>
      </c>
      <c r="NK70" s="97">
        <f t="shared" si="316"/>
        <v>0</v>
      </c>
      <c r="NL70" s="97">
        <f t="shared" si="316"/>
        <v>0</v>
      </c>
      <c r="NM70" s="97">
        <f t="shared" si="316"/>
        <v>10000</v>
      </c>
      <c r="NN70" s="97">
        <f t="shared" si="316"/>
        <v>1500</v>
      </c>
      <c r="NO70" s="97">
        <f t="shared" si="316"/>
        <v>0</v>
      </c>
      <c r="NP70" s="97">
        <f t="shared" si="316"/>
        <v>3000</v>
      </c>
      <c r="NQ70" s="97">
        <f t="shared" si="316"/>
        <v>0</v>
      </c>
      <c r="NR70" s="97">
        <f t="shared" si="316"/>
        <v>0</v>
      </c>
      <c r="NS70" s="97">
        <f t="shared" si="316"/>
        <v>0</v>
      </c>
      <c r="NT70" s="97">
        <f t="shared" si="316"/>
        <v>0</v>
      </c>
      <c r="NU70" s="97">
        <f t="shared" si="316"/>
        <v>0</v>
      </c>
      <c r="NV70" s="97">
        <f t="shared" si="316"/>
        <v>0</v>
      </c>
      <c r="NW70" s="97">
        <f t="shared" si="316"/>
        <v>0</v>
      </c>
      <c r="NX70" s="97">
        <f t="shared" si="316"/>
        <v>0</v>
      </c>
      <c r="NY70" s="97">
        <f t="shared" si="316"/>
        <v>0</v>
      </c>
      <c r="NZ70" s="97">
        <f t="shared" si="316"/>
        <v>0</v>
      </c>
      <c r="OA70" s="97">
        <f t="shared" si="316"/>
        <v>15000</v>
      </c>
      <c r="OB70" s="97">
        <f t="shared" si="316"/>
        <v>0</v>
      </c>
      <c r="OC70" s="97">
        <f t="shared" si="316"/>
        <v>1118</v>
      </c>
      <c r="OD70" s="97">
        <f t="shared" ref="OD70:OG70" si="317">SUM(OD71:OD78)</f>
        <v>0</v>
      </c>
      <c r="OE70" s="97">
        <f t="shared" si="317"/>
        <v>0</v>
      </c>
      <c r="OF70" s="97">
        <f t="shared" si="317"/>
        <v>0</v>
      </c>
      <c r="OG70" s="97">
        <f t="shared" si="317"/>
        <v>0</v>
      </c>
      <c r="OH70" s="97">
        <f t="shared" si="312"/>
        <v>0</v>
      </c>
      <c r="OI70" s="97">
        <f t="shared" si="312"/>
        <v>0</v>
      </c>
      <c r="OJ70" s="97">
        <f>SUM(OJ71:OJ78)</f>
        <v>0</v>
      </c>
      <c r="OK70" s="97">
        <f>SUM(OK71:OK78)</f>
        <v>0</v>
      </c>
      <c r="OL70" s="97">
        <f t="shared" si="312"/>
        <v>1777.9</v>
      </c>
      <c r="OM70" s="97">
        <f t="shared" si="312"/>
        <v>0</v>
      </c>
      <c r="ON70" s="97">
        <f>SUM(ON71:ON78)</f>
        <v>0</v>
      </c>
      <c r="OO70" s="97">
        <f t="shared" si="312"/>
        <v>0</v>
      </c>
      <c r="OP70" s="97">
        <f t="shared" si="312"/>
        <v>0</v>
      </c>
      <c r="OQ70" s="97">
        <f t="shared" si="312"/>
        <v>0</v>
      </c>
      <c r="OR70" s="97">
        <f t="shared" si="312"/>
        <v>0</v>
      </c>
      <c r="OS70" s="97">
        <f t="shared" si="312"/>
        <v>3186.9</v>
      </c>
      <c r="OT70" s="97">
        <f t="shared" si="312"/>
        <v>14000</v>
      </c>
      <c r="OU70" s="97">
        <f t="shared" si="306"/>
        <v>0</v>
      </c>
      <c r="OV70" s="97">
        <f t="shared" si="306"/>
        <v>0</v>
      </c>
      <c r="OW70" s="97">
        <f t="shared" ref="OW70:PH70" si="318">SUM(OW71:OW78)</f>
        <v>0</v>
      </c>
      <c r="OX70" s="97">
        <f t="shared" si="318"/>
        <v>1000</v>
      </c>
      <c r="OY70" s="97">
        <f t="shared" si="318"/>
        <v>0</v>
      </c>
      <c r="OZ70" s="97">
        <f t="shared" si="318"/>
        <v>6000</v>
      </c>
      <c r="PA70" s="97">
        <f t="shared" si="318"/>
        <v>0</v>
      </c>
      <c r="PB70" s="97">
        <f>SUM(PB71:PB78)</f>
        <v>1802.5</v>
      </c>
      <c r="PC70" s="97">
        <f t="shared" si="318"/>
        <v>0</v>
      </c>
      <c r="PD70" s="97">
        <f>SUM(PD71:PD78)</f>
        <v>0</v>
      </c>
      <c r="PE70" s="97">
        <f t="shared" si="318"/>
        <v>0</v>
      </c>
      <c r="PF70" s="97">
        <f t="shared" si="318"/>
        <v>0</v>
      </c>
      <c r="PG70" s="97">
        <f t="shared" si="318"/>
        <v>0</v>
      </c>
      <c r="PH70" s="97">
        <f t="shared" si="318"/>
        <v>0</v>
      </c>
      <c r="PI70" s="97">
        <f>SUM(PI71:PI78)</f>
        <v>0</v>
      </c>
      <c r="PJ70" s="97">
        <f t="shared" ref="PJ70:QC70" si="319">SUM(PJ71:PJ78)</f>
        <v>9614.5</v>
      </c>
      <c r="PK70" s="97">
        <f t="shared" si="319"/>
        <v>0</v>
      </c>
      <c r="PL70" s="97">
        <f t="shared" si="319"/>
        <v>0</v>
      </c>
      <c r="PM70" s="97">
        <f t="shared" si="319"/>
        <v>0</v>
      </c>
      <c r="PN70" s="97">
        <f t="shared" ref="PN70:PS70" si="320">SUM(PN71:PN78)</f>
        <v>0</v>
      </c>
      <c r="PO70" s="97">
        <f t="shared" si="320"/>
        <v>0</v>
      </c>
      <c r="PP70" s="97">
        <f t="shared" si="320"/>
        <v>0</v>
      </c>
      <c r="PQ70" s="97">
        <f t="shared" si="320"/>
        <v>0</v>
      </c>
      <c r="PR70" s="97">
        <f t="shared" si="320"/>
        <v>0</v>
      </c>
      <c r="PS70" s="97">
        <f t="shared" si="320"/>
        <v>0</v>
      </c>
      <c r="PT70" s="97">
        <f t="shared" si="319"/>
        <v>0</v>
      </c>
      <c r="PU70" s="97">
        <f>SUM(PU71:PU78)</f>
        <v>0</v>
      </c>
      <c r="PV70" s="97">
        <f t="shared" si="319"/>
        <v>0</v>
      </c>
      <c r="PW70" s="97">
        <f>SUM(PW71:PW78)</f>
        <v>8100</v>
      </c>
      <c r="PX70" s="97">
        <f>SUM(PX71:PX78)</f>
        <v>0</v>
      </c>
      <c r="PY70" s="97">
        <f>SUM(PY71:PY78)</f>
        <v>0</v>
      </c>
      <c r="PZ70" s="97">
        <f>SUM(PZ71:PZ78)</f>
        <v>0</v>
      </c>
      <c r="QA70" s="97">
        <f>SUM(QA71:QA78)</f>
        <v>0</v>
      </c>
      <c r="QB70" s="97">
        <f t="shared" si="319"/>
        <v>0</v>
      </c>
      <c r="QC70" s="97">
        <f t="shared" si="319"/>
        <v>300</v>
      </c>
      <c r="QD70" s="97">
        <f>SUM(QD71:QD78)</f>
        <v>1600</v>
      </c>
      <c r="QE70" s="97">
        <f t="shared" ref="QE70:QJ70" si="321">SUM(QE71:QE78)</f>
        <v>0</v>
      </c>
      <c r="QF70" s="97">
        <f t="shared" si="321"/>
        <v>0</v>
      </c>
      <c r="QG70" s="97">
        <f t="shared" si="321"/>
        <v>0</v>
      </c>
      <c r="QH70" s="97">
        <f t="shared" si="321"/>
        <v>0</v>
      </c>
      <c r="QI70" s="97">
        <f t="shared" si="321"/>
        <v>0</v>
      </c>
      <c r="QJ70" s="97">
        <f t="shared" si="321"/>
        <v>38800</v>
      </c>
      <c r="QK70" s="97">
        <f>SUM(QK71:QK78)</f>
        <v>0</v>
      </c>
      <c r="QL70" s="97">
        <f t="shared" ref="QL70:QM70" si="322">SUM(QL71:QL78)</f>
        <v>9000</v>
      </c>
      <c r="QM70" s="97">
        <f t="shared" si="322"/>
        <v>7000</v>
      </c>
      <c r="QN70" s="97">
        <f>SUM(QN71:QN78)</f>
        <v>0</v>
      </c>
      <c r="QO70" s="97">
        <f>SUM(QO71:QO78)</f>
        <v>0</v>
      </c>
      <c r="QP70" s="97">
        <f t="shared" ref="QP70" si="323">SUM(QP71:QP78)</f>
        <v>3000</v>
      </c>
      <c r="QQ70" s="97">
        <f>SUM(QQ71:QQ78)</f>
        <v>0</v>
      </c>
      <c r="QR70" s="97">
        <f>SUM(QR71:QR78)</f>
        <v>0</v>
      </c>
      <c r="QS70" s="97">
        <f t="shared" ref="QS70:RM70" si="324">SUM(QS71:QS78)</f>
        <v>0</v>
      </c>
      <c r="QT70" s="97">
        <f>SUM(QT71:QT78)</f>
        <v>0</v>
      </c>
      <c r="QU70" s="97">
        <f>SUM(QU71:QU78)</f>
        <v>0</v>
      </c>
      <c r="QV70" s="97">
        <f t="shared" si="324"/>
        <v>0</v>
      </c>
      <c r="QW70" s="97">
        <f t="shared" si="324"/>
        <v>1650</v>
      </c>
      <c r="QX70" s="97">
        <f t="shared" si="324"/>
        <v>0</v>
      </c>
      <c r="QY70" s="97">
        <f t="shared" si="324"/>
        <v>2700</v>
      </c>
      <c r="QZ70" s="97">
        <f t="shared" si="324"/>
        <v>0</v>
      </c>
      <c r="RA70" s="97">
        <f t="shared" si="324"/>
        <v>0</v>
      </c>
      <c r="RB70" s="97">
        <f t="shared" si="324"/>
        <v>0</v>
      </c>
      <c r="RC70" s="97">
        <f t="shared" si="324"/>
        <v>0</v>
      </c>
      <c r="RD70" s="97">
        <f t="shared" si="324"/>
        <v>0</v>
      </c>
      <c r="RE70" s="97">
        <f>SUM(RE71:RE78)</f>
        <v>0</v>
      </c>
      <c r="RF70" s="97">
        <f t="shared" si="324"/>
        <v>0</v>
      </c>
      <c r="RG70" s="97">
        <f t="shared" si="324"/>
        <v>0</v>
      </c>
      <c r="RH70" s="97">
        <f t="shared" si="324"/>
        <v>0</v>
      </c>
      <c r="RI70" s="97">
        <f t="shared" si="324"/>
        <v>0</v>
      </c>
      <c r="RJ70" s="97">
        <f>SUM(RJ71:RJ78)</f>
        <v>0</v>
      </c>
      <c r="RK70" s="97">
        <f t="shared" si="324"/>
        <v>0</v>
      </c>
      <c r="RL70" s="97">
        <f t="shared" si="324"/>
        <v>0</v>
      </c>
      <c r="RM70" s="97">
        <f t="shared" si="324"/>
        <v>0</v>
      </c>
      <c r="RN70" s="97">
        <f>SUM(RN71:RN78)</f>
        <v>0</v>
      </c>
    </row>
    <row r="71" spans="1:482" s="60" customFormat="1" ht="10.5" customHeight="1" x14ac:dyDescent="0.2">
      <c r="A71" s="125" t="s">
        <v>739</v>
      </c>
      <c r="B71" s="176" t="s">
        <v>884</v>
      </c>
      <c r="C71" s="162" t="s">
        <v>885</v>
      </c>
      <c r="D71" s="116">
        <f t="shared" ref="D71:D78" si="325">SUM(E71:RR71)</f>
        <v>8700</v>
      </c>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v>3000</v>
      </c>
      <c r="AG71" s="114"/>
      <c r="AH71" s="114"/>
      <c r="AI71" s="114"/>
      <c r="AJ71" s="114"/>
      <c r="AK71" s="114"/>
      <c r="AL71" s="114"/>
      <c r="AM71" s="114"/>
      <c r="AN71" s="114"/>
      <c r="AO71" s="114"/>
      <c r="AP71" s="114"/>
      <c r="AQ71" s="114"/>
      <c r="AR71" s="114"/>
      <c r="AS71" s="114"/>
      <c r="AT71" s="114"/>
      <c r="AU71" s="114">
        <v>900</v>
      </c>
      <c r="AV71" s="114"/>
      <c r="AW71" s="114"/>
      <c r="AX71" s="114"/>
      <c r="AY71" s="114"/>
      <c r="AZ71" s="114"/>
      <c r="BA71" s="114">
        <v>3050</v>
      </c>
      <c r="BB71" s="114"/>
      <c r="BC71" s="114"/>
      <c r="BD71" s="114"/>
      <c r="BE71" s="114"/>
      <c r="BF71" s="114"/>
      <c r="BG71" s="114"/>
      <c r="BH71" s="114"/>
      <c r="BI71" s="114"/>
      <c r="BJ71" s="114"/>
      <c r="BK71" s="114" t="s">
        <v>954</v>
      </c>
      <c r="BL71" s="99"/>
      <c r="BM71" s="99"/>
      <c r="BN71" s="99"/>
      <c r="BO71" s="99"/>
      <c r="BP71" s="99"/>
      <c r="BQ71" s="99"/>
      <c r="BR71" s="99"/>
      <c r="BS71" s="99"/>
      <c r="BT71" s="99"/>
      <c r="BU71" s="99"/>
      <c r="BV71" s="99"/>
      <c r="BW71" s="99"/>
      <c r="BX71" s="99"/>
      <c r="BY71" s="99"/>
      <c r="BZ71" s="99"/>
      <c r="CA71" s="99"/>
      <c r="CB71" s="99"/>
      <c r="CC71" s="99"/>
      <c r="CD71" s="99">
        <v>750</v>
      </c>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v>1000</v>
      </c>
      <c r="DP71" s="99"/>
      <c r="DQ71" s="99"/>
      <c r="DR71" s="99"/>
      <c r="DS71" s="99"/>
      <c r="DT71" s="99"/>
      <c r="DU71" s="99"/>
      <c r="DV71" s="99"/>
      <c r="DW71" s="99"/>
      <c r="DX71" s="102"/>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99"/>
      <c r="IR71" s="99"/>
      <c r="IS71" s="99"/>
      <c r="IT71" s="99"/>
      <c r="IU71" s="99"/>
      <c r="IV71" s="99"/>
      <c r="IW71" s="99"/>
      <c r="IX71" s="99"/>
      <c r="IY71" s="99"/>
      <c r="IZ71" s="99"/>
      <c r="JA71" s="99"/>
      <c r="JB71" s="99"/>
      <c r="JC71" s="99"/>
      <c r="JD71" s="99"/>
      <c r="JE71" s="99"/>
      <c r="JF71" s="99"/>
      <c r="JG71" s="99"/>
      <c r="JH71" s="99"/>
      <c r="JI71" s="99"/>
      <c r="JJ71" s="99"/>
      <c r="JK71" s="99"/>
      <c r="JL71" s="99"/>
      <c r="JM71" s="99"/>
      <c r="JN71" s="99"/>
      <c r="JO71" s="99"/>
      <c r="JP71" s="99"/>
      <c r="JQ71" s="99"/>
      <c r="JR71" s="99"/>
      <c r="JS71" s="99"/>
      <c r="JT71" s="99"/>
      <c r="JU71" s="99"/>
      <c r="JV71" s="99"/>
      <c r="JW71" s="99"/>
      <c r="JX71" s="99"/>
      <c r="JY71" s="99"/>
      <c r="JZ71" s="99"/>
      <c r="KA71" s="99"/>
      <c r="KB71" s="99"/>
      <c r="KC71" s="99"/>
      <c r="KD71" s="99"/>
      <c r="KE71" s="99"/>
      <c r="KF71" s="99"/>
      <c r="KG71" s="99"/>
      <c r="KH71" s="99"/>
      <c r="KI71" s="99"/>
      <c r="KJ71" s="99"/>
      <c r="KK71" s="99"/>
      <c r="KL71" s="99"/>
      <c r="KM71" s="99"/>
      <c r="KN71" s="99"/>
      <c r="KO71" s="99"/>
      <c r="KP71" s="99"/>
      <c r="KQ71" s="99"/>
      <c r="KR71" s="99"/>
      <c r="KS71" s="99"/>
      <c r="KT71" s="99"/>
      <c r="KU71" s="99"/>
      <c r="KV71" s="99"/>
      <c r="KW71" s="99"/>
      <c r="KX71" s="99"/>
      <c r="KY71" s="99"/>
      <c r="KZ71" s="99"/>
      <c r="LA71" s="99"/>
      <c r="LB71" s="99"/>
      <c r="LC71" s="99"/>
      <c r="LD71" s="99"/>
      <c r="LE71" s="99"/>
      <c r="LF71" s="99"/>
      <c r="LG71" s="99"/>
      <c r="LH71" s="99"/>
      <c r="LI71" s="99"/>
      <c r="LJ71" s="99"/>
      <c r="LK71" s="99"/>
      <c r="LL71" s="99"/>
      <c r="LM71" s="99"/>
      <c r="LN71" s="99"/>
      <c r="LO71" s="99"/>
      <c r="LP71" s="99"/>
      <c r="LQ71" s="99"/>
      <c r="LR71" s="99"/>
      <c r="LS71" s="99"/>
      <c r="LT71" s="99"/>
      <c r="LU71" s="99"/>
      <c r="LV71" s="99"/>
      <c r="LW71" s="99"/>
      <c r="LX71" s="99"/>
      <c r="LY71" s="99"/>
      <c r="LZ71" s="99"/>
      <c r="MA71" s="99"/>
      <c r="MB71" s="99"/>
      <c r="MC71" s="99"/>
      <c r="MD71" s="99"/>
      <c r="ME71" s="99"/>
      <c r="MF71" s="99"/>
      <c r="MG71" s="99"/>
      <c r="MH71" s="99"/>
      <c r="MI71" s="99"/>
      <c r="MJ71" s="99"/>
      <c r="MK71" s="99"/>
      <c r="ML71" s="99"/>
      <c r="MM71" s="99"/>
      <c r="MN71" s="99"/>
      <c r="MO71" s="99"/>
      <c r="MP71" s="99"/>
      <c r="MQ71" s="99"/>
      <c r="MR71" s="99"/>
      <c r="MS71" s="99"/>
      <c r="MT71" s="99"/>
      <c r="MU71" s="99"/>
      <c r="MV71" s="99"/>
      <c r="MW71" s="99"/>
      <c r="MX71" s="99"/>
      <c r="MY71" s="99"/>
      <c r="MZ71" s="99"/>
      <c r="NA71" s="99"/>
      <c r="NB71" s="99"/>
      <c r="NC71" s="99"/>
      <c r="ND71" s="99"/>
      <c r="NE71" s="99"/>
      <c r="NF71" s="99"/>
      <c r="NG71" s="99"/>
      <c r="NH71" s="99"/>
      <c r="NI71" s="99"/>
      <c r="NJ71" s="99"/>
      <c r="NK71" s="99"/>
      <c r="NL71" s="99"/>
      <c r="NM71" s="99"/>
      <c r="NN71" s="99"/>
      <c r="NO71" s="99"/>
      <c r="NP71" s="99"/>
      <c r="NQ71" s="99"/>
      <c r="NR71" s="99"/>
      <c r="NS71" s="99"/>
      <c r="NT71" s="99"/>
      <c r="NU71" s="99"/>
      <c r="NV71" s="99"/>
      <c r="NW71" s="99"/>
      <c r="NX71" s="99"/>
      <c r="NY71" s="99"/>
      <c r="NZ71" s="99"/>
      <c r="OA71" s="99"/>
      <c r="OB71" s="99"/>
      <c r="OC71" s="99"/>
      <c r="OD71" s="99"/>
      <c r="OE71" s="99"/>
      <c r="OF71" s="99"/>
      <c r="OG71" s="99"/>
      <c r="OH71" s="99"/>
      <c r="OI71" s="99"/>
      <c r="OJ71" s="99"/>
      <c r="OK71" s="99"/>
      <c r="OL71" s="99"/>
      <c r="OM71" s="99"/>
      <c r="ON71" s="99"/>
      <c r="OO71" s="99"/>
      <c r="OP71" s="99"/>
      <c r="OQ71" s="99"/>
      <c r="OR71" s="99"/>
      <c r="OS71" s="99"/>
      <c r="OT71" s="99"/>
      <c r="OU71" s="99"/>
      <c r="OV71" s="99"/>
      <c r="OW71" s="99"/>
      <c r="OX71" s="99"/>
      <c r="OY71" s="99"/>
      <c r="OZ71" s="99"/>
      <c r="PA71" s="99"/>
      <c r="PB71" s="99"/>
      <c r="PC71" s="99"/>
      <c r="PD71" s="99"/>
      <c r="PE71" s="99"/>
      <c r="PF71" s="99"/>
      <c r="PG71" s="99"/>
      <c r="PH71" s="99"/>
      <c r="PI71" s="99"/>
      <c r="PJ71" s="99"/>
      <c r="PK71" s="99"/>
      <c r="PL71" s="99"/>
      <c r="PM71" s="99"/>
      <c r="PN71" s="99"/>
      <c r="PO71" s="99"/>
      <c r="PP71" s="99"/>
      <c r="PQ71" s="99"/>
      <c r="PR71" s="99"/>
      <c r="PS71" s="99"/>
      <c r="PT71" s="99"/>
      <c r="PU71" s="99"/>
      <c r="PV71" s="99"/>
      <c r="PW71" s="99"/>
      <c r="PX71" s="99"/>
      <c r="PY71" s="99"/>
      <c r="PZ71" s="99"/>
      <c r="QA71" s="99"/>
      <c r="QB71" s="99"/>
      <c r="QC71" s="99"/>
      <c r="QD71" s="99"/>
      <c r="QE71" s="99"/>
      <c r="QF71" s="99"/>
      <c r="QG71" s="99"/>
      <c r="QH71" s="99"/>
      <c r="QI71" s="99"/>
      <c r="QJ71" s="99"/>
      <c r="QK71" s="99"/>
      <c r="QL71" s="99"/>
      <c r="QM71" s="99"/>
      <c r="QN71" s="99"/>
      <c r="QO71" s="99"/>
      <c r="QP71" s="99"/>
      <c r="QQ71" s="99"/>
      <c r="QR71" s="99"/>
      <c r="QS71" s="99"/>
      <c r="QT71" s="99"/>
      <c r="QU71" s="99"/>
      <c r="QV71" s="99"/>
      <c r="QW71" s="99"/>
      <c r="QX71" s="99"/>
      <c r="QY71" s="99"/>
      <c r="QZ71" s="99"/>
      <c r="RA71" s="99"/>
      <c r="RB71" s="99"/>
      <c r="RC71" s="99"/>
      <c r="RD71" s="99"/>
      <c r="RE71" s="99"/>
      <c r="RF71" s="99"/>
      <c r="RG71" s="99"/>
      <c r="RH71" s="99"/>
      <c r="RI71" s="99"/>
      <c r="RJ71" s="99"/>
      <c r="RK71" s="99"/>
      <c r="RL71" s="99"/>
      <c r="RM71" s="99"/>
      <c r="RN71" s="99"/>
    </row>
    <row r="72" spans="1:482" s="60" customFormat="1" ht="11.25" x14ac:dyDescent="0.2">
      <c r="A72" s="125" t="s">
        <v>812</v>
      </c>
      <c r="B72" s="176"/>
      <c r="C72" s="162" t="s">
        <v>886</v>
      </c>
      <c r="D72" s="116">
        <f t="shared" si="325"/>
        <v>41440</v>
      </c>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v>41440</v>
      </c>
      <c r="BB72" s="114"/>
      <c r="BC72" s="114"/>
      <c r="BD72" s="114"/>
      <c r="BE72" s="114"/>
      <c r="BF72" s="114"/>
      <c r="BG72" s="114"/>
      <c r="BH72" s="114"/>
      <c r="BI72" s="114"/>
      <c r="BJ72" s="114"/>
      <c r="BK72" s="114" t="s">
        <v>912</v>
      </c>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102"/>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c r="IW72" s="99"/>
      <c r="IX72" s="99"/>
      <c r="IY72" s="99"/>
      <c r="IZ72" s="99"/>
      <c r="JA72" s="99"/>
      <c r="JB72" s="99"/>
      <c r="JC72" s="99"/>
      <c r="JD72" s="99"/>
      <c r="JE72" s="99"/>
      <c r="JF72" s="99"/>
      <c r="JG72" s="99"/>
      <c r="JH72" s="99"/>
      <c r="JI72" s="99"/>
      <c r="JJ72" s="99"/>
      <c r="JK72" s="99"/>
      <c r="JL72" s="99"/>
      <c r="JM72" s="99"/>
      <c r="JN72" s="99"/>
      <c r="JO72" s="99"/>
      <c r="JP72" s="99"/>
      <c r="JQ72" s="99"/>
      <c r="JR72" s="99"/>
      <c r="JS72" s="99"/>
      <c r="JT72" s="99"/>
      <c r="JU72" s="99"/>
      <c r="JV72" s="99"/>
      <c r="JW72" s="99"/>
      <c r="JX72" s="99"/>
      <c r="JY72" s="99"/>
      <c r="JZ72" s="99"/>
      <c r="KA72" s="99"/>
      <c r="KB72" s="99"/>
      <c r="KC72" s="99"/>
      <c r="KD72" s="99"/>
      <c r="KE72" s="99"/>
      <c r="KF72" s="99"/>
      <c r="KG72" s="99"/>
      <c r="KH72" s="99"/>
      <c r="KI72" s="99"/>
      <c r="KJ72" s="99"/>
      <c r="KK72" s="99"/>
      <c r="KL72" s="99"/>
      <c r="KM72" s="99"/>
      <c r="KN72" s="99"/>
      <c r="KO72" s="99"/>
      <c r="KP72" s="99"/>
      <c r="KQ72" s="99"/>
      <c r="KR72" s="99"/>
      <c r="KS72" s="99"/>
      <c r="KT72" s="99"/>
      <c r="KU72" s="99"/>
      <c r="KV72" s="99"/>
      <c r="KW72" s="99"/>
      <c r="KX72" s="99"/>
      <c r="KY72" s="99"/>
      <c r="KZ72" s="99"/>
      <c r="LA72" s="99"/>
      <c r="LB72" s="99"/>
      <c r="LC72" s="99"/>
      <c r="LD72" s="99"/>
      <c r="LE72" s="99"/>
      <c r="LF72" s="99"/>
      <c r="LG72" s="99"/>
      <c r="LH72" s="99"/>
      <c r="LI72" s="99"/>
      <c r="LJ72" s="99"/>
      <c r="LK72" s="99"/>
      <c r="LL72" s="99"/>
      <c r="LM72" s="99"/>
      <c r="LN72" s="99"/>
      <c r="LO72" s="99"/>
      <c r="LP72" s="99"/>
      <c r="LQ72" s="99"/>
      <c r="LR72" s="99"/>
      <c r="LS72" s="99"/>
      <c r="LT72" s="99"/>
      <c r="LU72" s="99"/>
      <c r="LV72" s="99"/>
      <c r="LW72" s="99"/>
      <c r="LX72" s="99"/>
      <c r="LY72" s="99"/>
      <c r="LZ72" s="99"/>
      <c r="MA72" s="99"/>
      <c r="MB72" s="99"/>
      <c r="MC72" s="99"/>
      <c r="MD72" s="99"/>
      <c r="ME72" s="99"/>
      <c r="MF72" s="99"/>
      <c r="MG72" s="99"/>
      <c r="MH72" s="99"/>
      <c r="MI72" s="99"/>
      <c r="MJ72" s="99"/>
      <c r="MK72" s="99"/>
      <c r="ML72" s="99"/>
      <c r="MM72" s="99"/>
      <c r="MN72" s="99"/>
      <c r="MO72" s="99"/>
      <c r="MP72" s="99"/>
      <c r="MQ72" s="99"/>
      <c r="MR72" s="99"/>
      <c r="MS72" s="99"/>
      <c r="MT72" s="99"/>
      <c r="MU72" s="99"/>
      <c r="MV72" s="99"/>
      <c r="MW72" s="99"/>
      <c r="MX72" s="99"/>
      <c r="MY72" s="99"/>
      <c r="MZ72" s="99"/>
      <c r="NA72" s="99"/>
      <c r="NB72" s="99"/>
      <c r="NC72" s="99"/>
      <c r="ND72" s="99"/>
      <c r="NE72" s="99"/>
      <c r="NF72" s="99"/>
      <c r="NG72" s="99"/>
      <c r="NH72" s="99"/>
      <c r="NI72" s="99"/>
      <c r="NJ72" s="99"/>
      <c r="NK72" s="99"/>
      <c r="NL72" s="99"/>
      <c r="NM72" s="99"/>
      <c r="NN72" s="99"/>
      <c r="NO72" s="99"/>
      <c r="NP72" s="99"/>
      <c r="NQ72" s="99"/>
      <c r="NR72" s="99"/>
      <c r="NS72" s="99"/>
      <c r="NT72" s="99"/>
      <c r="NU72" s="99"/>
      <c r="NV72" s="99"/>
      <c r="NW72" s="99"/>
      <c r="NX72" s="99"/>
      <c r="NY72" s="99"/>
      <c r="NZ72" s="99"/>
      <c r="OA72" s="99"/>
      <c r="OB72" s="99"/>
      <c r="OC72" s="99"/>
      <c r="OD72" s="99"/>
      <c r="OE72" s="99"/>
      <c r="OF72" s="99"/>
      <c r="OG72" s="99"/>
      <c r="OH72" s="99"/>
      <c r="OI72" s="99"/>
      <c r="OJ72" s="99"/>
      <c r="OK72" s="99"/>
      <c r="OL72" s="99"/>
      <c r="OM72" s="99"/>
      <c r="ON72" s="99"/>
      <c r="OO72" s="99"/>
      <c r="OP72" s="99"/>
      <c r="OQ72" s="99"/>
      <c r="OR72" s="99"/>
      <c r="OS72" s="99"/>
      <c r="OT72" s="99"/>
      <c r="OU72" s="99"/>
      <c r="OV72" s="99"/>
      <c r="OW72" s="99"/>
      <c r="OX72" s="99"/>
      <c r="OY72" s="99"/>
      <c r="OZ72" s="99"/>
      <c r="PA72" s="99"/>
      <c r="PB72" s="99"/>
      <c r="PC72" s="99"/>
      <c r="PD72" s="99"/>
      <c r="PE72" s="99"/>
      <c r="PF72" s="99"/>
      <c r="PG72" s="99"/>
      <c r="PH72" s="99"/>
      <c r="PI72" s="99"/>
      <c r="PJ72" s="99"/>
      <c r="PK72" s="99"/>
      <c r="PL72" s="99"/>
      <c r="PM72" s="99"/>
      <c r="PN72" s="99"/>
      <c r="PO72" s="99"/>
      <c r="PP72" s="99"/>
      <c r="PQ72" s="99"/>
      <c r="PR72" s="99"/>
      <c r="PS72" s="99"/>
      <c r="PT72" s="99"/>
      <c r="PU72" s="99"/>
      <c r="PV72" s="99"/>
      <c r="PW72" s="99"/>
      <c r="PX72" s="99"/>
      <c r="PY72" s="99"/>
      <c r="PZ72" s="99"/>
      <c r="QA72" s="99"/>
      <c r="QB72" s="99"/>
      <c r="QC72" s="99"/>
      <c r="QD72" s="99"/>
      <c r="QE72" s="99"/>
      <c r="QF72" s="99"/>
      <c r="QG72" s="99"/>
      <c r="QH72" s="99"/>
      <c r="QI72" s="99"/>
      <c r="QJ72" s="99"/>
      <c r="QK72" s="99"/>
      <c r="QL72" s="99"/>
      <c r="QM72" s="99"/>
      <c r="QN72" s="99"/>
      <c r="QO72" s="99"/>
      <c r="QP72" s="99"/>
      <c r="QQ72" s="99"/>
      <c r="QR72" s="99"/>
      <c r="QS72" s="99"/>
      <c r="QT72" s="99"/>
      <c r="QU72" s="99"/>
      <c r="QV72" s="99"/>
      <c r="QW72" s="99"/>
      <c r="QX72" s="99"/>
      <c r="QY72" s="99"/>
      <c r="QZ72" s="99"/>
      <c r="RA72" s="99"/>
      <c r="RB72" s="99"/>
      <c r="RC72" s="99"/>
      <c r="RD72" s="99"/>
      <c r="RE72" s="99"/>
      <c r="RF72" s="99"/>
      <c r="RG72" s="99"/>
      <c r="RH72" s="99"/>
      <c r="RI72" s="99"/>
      <c r="RJ72" s="99"/>
      <c r="RK72" s="99"/>
      <c r="RL72" s="99"/>
      <c r="RM72" s="99"/>
      <c r="RN72" s="99"/>
    </row>
    <row r="73" spans="1:482" s="60" customFormat="1" ht="10.5" customHeight="1" x14ac:dyDescent="0.2">
      <c r="A73" s="125" t="s">
        <v>813</v>
      </c>
      <c r="B73" s="175" t="s">
        <v>887</v>
      </c>
      <c r="C73" s="161" t="s">
        <v>885</v>
      </c>
      <c r="D73" s="115">
        <f t="shared" si="325"/>
        <v>394667.7</v>
      </c>
      <c r="E73" s="114"/>
      <c r="F73" s="114"/>
      <c r="G73" s="114"/>
      <c r="H73" s="114">
        <v>10000</v>
      </c>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v>9700</v>
      </c>
      <c r="AG73" s="114"/>
      <c r="AH73" s="114"/>
      <c r="AI73" s="114"/>
      <c r="AJ73" s="114"/>
      <c r="AK73" s="114">
        <v>100000</v>
      </c>
      <c r="AL73" s="114"/>
      <c r="AM73" s="114"/>
      <c r="AN73" s="114"/>
      <c r="AO73" s="114"/>
      <c r="AP73" s="114"/>
      <c r="AQ73" s="114">
        <v>10000</v>
      </c>
      <c r="AR73" s="114"/>
      <c r="AS73" s="114"/>
      <c r="AT73" s="114">
        <v>129418.1</v>
      </c>
      <c r="AU73" s="114"/>
      <c r="AV73" s="114"/>
      <c r="AW73" s="114"/>
      <c r="AX73" s="114"/>
      <c r="AY73" s="114"/>
      <c r="AZ73" s="114"/>
      <c r="BA73" s="114"/>
      <c r="BB73" s="114"/>
      <c r="BC73" s="114"/>
      <c r="BD73" s="114"/>
      <c r="BE73" s="114"/>
      <c r="BF73" s="114"/>
      <c r="BG73" s="114"/>
      <c r="BH73" s="114"/>
      <c r="BI73" s="114"/>
      <c r="BJ73" s="114"/>
      <c r="BK73" s="114" t="s">
        <v>955</v>
      </c>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v>50000</v>
      </c>
      <c r="CQ73" s="103"/>
      <c r="CR73" s="103"/>
      <c r="CS73" s="103">
        <v>34970.699999999997</v>
      </c>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16"/>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v>2000</v>
      </c>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3"/>
      <c r="IJ73" s="103"/>
      <c r="IK73" s="103"/>
      <c r="IL73" s="103"/>
      <c r="IM73" s="103"/>
      <c r="IN73" s="103"/>
      <c r="IO73" s="103"/>
      <c r="IP73" s="103"/>
      <c r="IQ73" s="103"/>
      <c r="IR73" s="103"/>
      <c r="IS73" s="103"/>
      <c r="IT73" s="103"/>
      <c r="IU73" s="103"/>
      <c r="IV73" s="103"/>
      <c r="IW73" s="103"/>
      <c r="IX73" s="103"/>
      <c r="IY73" s="103"/>
      <c r="IZ73" s="103"/>
      <c r="JA73" s="103"/>
      <c r="JB73" s="103"/>
      <c r="JC73" s="103"/>
      <c r="JD73" s="103"/>
      <c r="JE73" s="103"/>
      <c r="JF73" s="103"/>
      <c r="JG73" s="103"/>
      <c r="JH73" s="103"/>
      <c r="JI73" s="103"/>
      <c r="JJ73" s="103"/>
      <c r="JK73" s="103"/>
      <c r="JL73" s="103"/>
      <c r="JM73" s="103"/>
      <c r="JN73" s="103"/>
      <c r="JO73" s="103"/>
      <c r="JP73" s="103"/>
      <c r="JQ73" s="103"/>
      <c r="JR73" s="103"/>
      <c r="JS73" s="103"/>
      <c r="JT73" s="103"/>
      <c r="JU73" s="103"/>
      <c r="JV73" s="103"/>
      <c r="JW73" s="103"/>
      <c r="JX73" s="103"/>
      <c r="JY73" s="103"/>
      <c r="JZ73" s="103"/>
      <c r="KA73" s="103"/>
      <c r="KB73" s="103"/>
      <c r="KC73" s="103"/>
      <c r="KD73" s="103"/>
      <c r="KE73" s="103"/>
      <c r="KF73" s="103"/>
      <c r="KG73" s="103"/>
      <c r="KH73" s="103"/>
      <c r="KI73" s="103"/>
      <c r="KJ73" s="103">
        <v>16219.1</v>
      </c>
      <c r="KK73" s="103"/>
      <c r="KL73" s="103"/>
      <c r="KM73" s="103"/>
      <c r="KN73" s="103"/>
      <c r="KO73" s="103"/>
      <c r="KP73" s="103"/>
      <c r="KQ73" s="103"/>
      <c r="KR73" s="103"/>
      <c r="KS73" s="103"/>
      <c r="KT73" s="103"/>
      <c r="KU73" s="103"/>
      <c r="KV73" s="103"/>
      <c r="KW73" s="103"/>
      <c r="KX73" s="103">
        <v>6000</v>
      </c>
      <c r="KY73" s="103"/>
      <c r="KZ73" s="103"/>
      <c r="LA73" s="103"/>
      <c r="LB73" s="103"/>
      <c r="LC73" s="103"/>
      <c r="LD73" s="103"/>
      <c r="LE73" s="103"/>
      <c r="LF73" s="103"/>
      <c r="LG73" s="103"/>
      <c r="LH73" s="103"/>
      <c r="LI73" s="103"/>
      <c r="LJ73" s="103"/>
      <c r="LK73" s="103"/>
      <c r="LL73" s="103"/>
      <c r="LM73" s="103"/>
      <c r="LN73" s="103"/>
      <c r="LO73" s="103"/>
      <c r="LP73" s="103"/>
      <c r="LQ73" s="103"/>
      <c r="LR73" s="103"/>
      <c r="LS73" s="103"/>
      <c r="LT73" s="103"/>
      <c r="LU73" s="103"/>
      <c r="LV73" s="103"/>
      <c r="LW73" s="103"/>
      <c r="LX73" s="103">
        <v>1250</v>
      </c>
      <c r="LY73" s="103"/>
      <c r="LZ73" s="103"/>
      <c r="MA73" s="103"/>
      <c r="MB73" s="103"/>
      <c r="MC73" s="103"/>
      <c r="MD73" s="103"/>
      <c r="ME73" s="103"/>
      <c r="MF73" s="103"/>
      <c r="MG73" s="103"/>
      <c r="MH73" s="103"/>
      <c r="MI73" s="103"/>
      <c r="MJ73" s="103"/>
      <c r="MK73" s="103"/>
      <c r="ML73" s="103"/>
      <c r="MM73" s="103"/>
      <c r="MN73" s="103"/>
      <c r="MO73" s="103"/>
      <c r="MP73" s="103"/>
      <c r="MQ73" s="103"/>
      <c r="MR73" s="103"/>
      <c r="MS73" s="103"/>
      <c r="MT73" s="103"/>
      <c r="MU73" s="103"/>
      <c r="MV73" s="103"/>
      <c r="MW73" s="103"/>
      <c r="MX73" s="103"/>
      <c r="MY73" s="103"/>
      <c r="MZ73" s="103"/>
      <c r="NA73" s="103"/>
      <c r="NB73" s="103"/>
      <c r="NC73" s="103"/>
      <c r="ND73" s="103"/>
      <c r="NE73" s="103"/>
      <c r="NF73" s="103"/>
      <c r="NG73" s="103"/>
      <c r="NH73" s="103"/>
      <c r="NI73" s="103"/>
      <c r="NJ73" s="103"/>
      <c r="NK73" s="103"/>
      <c r="NL73" s="103"/>
      <c r="NM73" s="103"/>
      <c r="NN73" s="103">
        <v>1000</v>
      </c>
      <c r="NO73" s="103"/>
      <c r="NP73" s="103">
        <v>2000</v>
      </c>
      <c r="NQ73" s="103"/>
      <c r="NR73" s="103"/>
      <c r="NS73" s="103"/>
      <c r="NT73" s="103"/>
      <c r="NU73" s="103"/>
      <c r="NV73" s="103"/>
      <c r="NW73" s="103"/>
      <c r="NX73" s="103"/>
      <c r="NY73" s="103"/>
      <c r="NZ73" s="103"/>
      <c r="OA73" s="103">
        <v>10000</v>
      </c>
      <c r="OB73" s="103"/>
      <c r="OC73" s="103"/>
      <c r="OD73" s="103"/>
      <c r="OE73" s="103"/>
      <c r="OF73" s="103"/>
      <c r="OG73" s="103"/>
      <c r="OH73" s="103"/>
      <c r="OI73" s="103"/>
      <c r="OJ73" s="103"/>
      <c r="OK73" s="103"/>
      <c r="OL73" s="103">
        <v>622.9</v>
      </c>
      <c r="OM73" s="103"/>
      <c r="ON73" s="103"/>
      <c r="OO73" s="103"/>
      <c r="OP73" s="103"/>
      <c r="OQ73" s="103"/>
      <c r="OR73" s="103"/>
      <c r="OS73" s="103">
        <v>1686.9</v>
      </c>
      <c r="OT73" s="103"/>
      <c r="OU73" s="103"/>
      <c r="OV73" s="103"/>
      <c r="OW73" s="103"/>
      <c r="OX73" s="103"/>
      <c r="OY73" s="103"/>
      <c r="OZ73" s="103">
        <v>6000</v>
      </c>
      <c r="PA73" s="103"/>
      <c r="PB73" s="103"/>
      <c r="PC73" s="103"/>
      <c r="PD73" s="103"/>
      <c r="PE73" s="103"/>
      <c r="PF73" s="103"/>
      <c r="PG73" s="103"/>
      <c r="PH73" s="103"/>
      <c r="PI73" s="103"/>
      <c r="PJ73" s="103"/>
      <c r="PK73" s="103"/>
      <c r="PL73" s="103"/>
      <c r="PM73" s="103"/>
      <c r="PN73" s="103"/>
      <c r="PO73" s="103"/>
      <c r="PP73" s="103"/>
      <c r="PQ73" s="103"/>
      <c r="PR73" s="103"/>
      <c r="PS73" s="103"/>
      <c r="PT73" s="103"/>
      <c r="PU73" s="103"/>
      <c r="PV73" s="103"/>
      <c r="PW73" s="103">
        <v>3800</v>
      </c>
      <c r="PX73" s="103"/>
      <c r="PY73" s="103"/>
      <c r="PZ73" s="103"/>
      <c r="QA73" s="103"/>
      <c r="QB73" s="103"/>
      <c r="QC73" s="103"/>
      <c r="QD73" s="103"/>
      <c r="QE73" s="103"/>
      <c r="QF73" s="103"/>
      <c r="QG73" s="103"/>
      <c r="QH73" s="103"/>
      <c r="QI73" s="103"/>
      <c r="QJ73" s="103"/>
      <c r="QK73" s="103"/>
      <c r="QL73" s="103"/>
      <c r="QM73" s="103"/>
      <c r="QN73" s="103"/>
      <c r="QO73" s="103"/>
      <c r="QP73" s="103"/>
      <c r="QQ73" s="103"/>
      <c r="QR73" s="103"/>
      <c r="QS73" s="103"/>
      <c r="QT73" s="103"/>
      <c r="QU73" s="103"/>
      <c r="QV73" s="103"/>
      <c r="QW73" s="103"/>
      <c r="QX73" s="103"/>
      <c r="QY73" s="103"/>
      <c r="QZ73" s="103"/>
      <c r="RA73" s="103"/>
      <c r="RB73" s="103"/>
      <c r="RC73" s="103"/>
      <c r="RD73" s="103"/>
      <c r="RE73" s="103"/>
      <c r="RF73" s="103"/>
      <c r="RG73" s="103"/>
      <c r="RH73" s="103"/>
      <c r="RI73" s="103"/>
      <c r="RJ73" s="103"/>
      <c r="RK73" s="103"/>
      <c r="RL73" s="103"/>
      <c r="RM73" s="103"/>
      <c r="RN73" s="103"/>
    </row>
    <row r="74" spans="1:482" s="60" customFormat="1" ht="11.25" x14ac:dyDescent="0.2">
      <c r="A74" s="125" t="s">
        <v>814</v>
      </c>
      <c r="B74" s="175"/>
      <c r="C74" s="161" t="s">
        <v>886</v>
      </c>
      <c r="D74" s="115">
        <f t="shared" si="325"/>
        <v>2443935.4</v>
      </c>
      <c r="E74" s="114"/>
      <c r="F74" s="114"/>
      <c r="G74" s="114"/>
      <c r="H74" s="114">
        <v>93400</v>
      </c>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v>1985000</v>
      </c>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t="s">
        <v>956</v>
      </c>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16"/>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3"/>
      <c r="HN74" s="103"/>
      <c r="HO74" s="103"/>
      <c r="HP74" s="103"/>
      <c r="HQ74" s="103"/>
      <c r="HR74" s="103"/>
      <c r="HS74" s="103"/>
      <c r="HT74" s="103"/>
      <c r="HU74" s="103"/>
      <c r="HV74" s="103"/>
      <c r="HW74" s="103"/>
      <c r="HX74" s="103"/>
      <c r="HY74" s="103"/>
      <c r="HZ74" s="103"/>
      <c r="IA74" s="103"/>
      <c r="IB74" s="103"/>
      <c r="IC74" s="103"/>
      <c r="ID74" s="103"/>
      <c r="IE74" s="103"/>
      <c r="IF74" s="103"/>
      <c r="IG74" s="103"/>
      <c r="IH74" s="103"/>
      <c r="II74" s="103"/>
      <c r="IJ74" s="103"/>
      <c r="IK74" s="103"/>
      <c r="IL74" s="103"/>
      <c r="IM74" s="103"/>
      <c r="IN74" s="103"/>
      <c r="IO74" s="103"/>
      <c r="IP74" s="103"/>
      <c r="IQ74" s="103"/>
      <c r="IR74" s="103"/>
      <c r="IS74" s="103"/>
      <c r="IT74" s="103"/>
      <c r="IU74" s="103"/>
      <c r="IV74" s="103"/>
      <c r="IW74" s="103"/>
      <c r="IX74" s="103"/>
      <c r="IY74" s="103"/>
      <c r="IZ74" s="103"/>
      <c r="JA74" s="103"/>
      <c r="JB74" s="103"/>
      <c r="JC74" s="103"/>
      <c r="JD74" s="103"/>
      <c r="JE74" s="103"/>
      <c r="JF74" s="103"/>
      <c r="JG74" s="103"/>
      <c r="JH74" s="103"/>
      <c r="JI74" s="103"/>
      <c r="JJ74" s="103"/>
      <c r="JK74" s="103"/>
      <c r="JL74" s="103"/>
      <c r="JM74" s="103"/>
      <c r="JN74" s="103"/>
      <c r="JO74" s="103"/>
      <c r="JP74" s="103"/>
      <c r="JQ74" s="103"/>
      <c r="JR74" s="103"/>
      <c r="JS74" s="103"/>
      <c r="JT74" s="103"/>
      <c r="JU74" s="103"/>
      <c r="JV74" s="103"/>
      <c r="JW74" s="103"/>
      <c r="JX74" s="103"/>
      <c r="JY74" s="103"/>
      <c r="JZ74" s="103"/>
      <c r="KA74" s="103"/>
      <c r="KB74" s="103"/>
      <c r="KC74" s="103"/>
      <c r="KD74" s="103"/>
      <c r="KE74" s="103"/>
      <c r="KF74" s="103"/>
      <c r="KG74" s="103"/>
      <c r="KH74" s="103"/>
      <c r="KI74" s="103"/>
      <c r="KJ74" s="103">
        <v>319535.40000000002</v>
      </c>
      <c r="KK74" s="103"/>
      <c r="KL74" s="103"/>
      <c r="KM74" s="103"/>
      <c r="KN74" s="103"/>
      <c r="KO74" s="103"/>
      <c r="KP74" s="103"/>
      <c r="KQ74" s="103"/>
      <c r="KR74" s="103"/>
      <c r="KS74" s="103"/>
      <c r="KT74" s="103"/>
      <c r="KU74" s="103"/>
      <c r="KV74" s="103"/>
      <c r="KW74" s="103"/>
      <c r="KX74" s="103"/>
      <c r="KY74" s="103"/>
      <c r="KZ74" s="103"/>
      <c r="LA74" s="103"/>
      <c r="LB74" s="103"/>
      <c r="LC74" s="103"/>
      <c r="LD74" s="103"/>
      <c r="LE74" s="103"/>
      <c r="LF74" s="103"/>
      <c r="LG74" s="103"/>
      <c r="LH74" s="103"/>
      <c r="LI74" s="103"/>
      <c r="LJ74" s="103"/>
      <c r="LK74" s="103"/>
      <c r="LL74" s="103"/>
      <c r="LM74" s="103"/>
      <c r="LN74" s="103"/>
      <c r="LO74" s="103"/>
      <c r="LP74" s="103"/>
      <c r="LQ74" s="103"/>
      <c r="LR74" s="103"/>
      <c r="LS74" s="103"/>
      <c r="LT74" s="103"/>
      <c r="LU74" s="103"/>
      <c r="LV74" s="103">
        <v>46000</v>
      </c>
      <c r="LW74" s="103"/>
      <c r="LX74" s="103"/>
      <c r="LY74" s="103"/>
      <c r="LZ74" s="103"/>
      <c r="MA74" s="103"/>
      <c r="MB74" s="103"/>
      <c r="MC74" s="103"/>
      <c r="MD74" s="103"/>
      <c r="ME74" s="103"/>
      <c r="MF74" s="103"/>
      <c r="MG74" s="103"/>
      <c r="MH74" s="103"/>
      <c r="MI74" s="103"/>
      <c r="MJ74" s="103"/>
      <c r="MK74" s="103"/>
      <c r="ML74" s="103"/>
      <c r="MM74" s="103"/>
      <c r="MN74" s="103"/>
      <c r="MO74" s="103"/>
      <c r="MP74" s="103"/>
      <c r="MQ74" s="103"/>
      <c r="MR74" s="103"/>
      <c r="MS74" s="103"/>
      <c r="MT74" s="103"/>
      <c r="MU74" s="103"/>
      <c r="MV74" s="103"/>
      <c r="MW74" s="103"/>
      <c r="MX74" s="103"/>
      <c r="MY74" s="103"/>
      <c r="MZ74" s="103"/>
      <c r="NA74" s="103"/>
      <c r="NB74" s="103"/>
      <c r="NC74" s="103"/>
      <c r="ND74" s="103"/>
      <c r="NE74" s="103"/>
      <c r="NF74" s="103"/>
      <c r="NG74" s="103"/>
      <c r="NH74" s="103"/>
      <c r="NI74" s="103"/>
      <c r="NJ74" s="103"/>
      <c r="NK74" s="103"/>
      <c r="NL74" s="103"/>
      <c r="NM74" s="103"/>
      <c r="NN74" s="103"/>
      <c r="NO74" s="103"/>
      <c r="NP74" s="103"/>
      <c r="NQ74" s="103"/>
      <c r="NR74" s="103"/>
      <c r="NS74" s="103"/>
      <c r="NT74" s="103"/>
      <c r="NU74" s="103"/>
      <c r="NV74" s="103"/>
      <c r="NW74" s="103"/>
      <c r="NX74" s="103"/>
      <c r="NY74" s="103"/>
      <c r="NZ74" s="103"/>
      <c r="OA74" s="103"/>
      <c r="OB74" s="103"/>
      <c r="OC74" s="103"/>
      <c r="OD74" s="103"/>
      <c r="OE74" s="103"/>
      <c r="OF74" s="103"/>
      <c r="OG74" s="103"/>
      <c r="OH74" s="103"/>
      <c r="OI74" s="103"/>
      <c r="OJ74" s="103"/>
      <c r="OK74" s="103"/>
      <c r="OL74" s="103"/>
      <c r="OM74" s="103"/>
      <c r="ON74" s="103"/>
      <c r="OO74" s="103"/>
      <c r="OP74" s="103"/>
      <c r="OQ74" s="103"/>
      <c r="OR74" s="103"/>
      <c r="OS74" s="103"/>
      <c r="OT74" s="103"/>
      <c r="OU74" s="103"/>
      <c r="OV74" s="103"/>
      <c r="OW74" s="103"/>
      <c r="OX74" s="103"/>
      <c r="OY74" s="103"/>
      <c r="OZ74" s="103"/>
      <c r="PA74" s="103"/>
      <c r="PB74" s="103"/>
      <c r="PC74" s="103"/>
      <c r="PD74" s="103"/>
      <c r="PE74" s="103"/>
      <c r="PF74" s="103"/>
      <c r="PG74" s="103"/>
      <c r="PH74" s="103"/>
      <c r="PI74" s="103"/>
      <c r="PJ74" s="103"/>
      <c r="PK74" s="103"/>
      <c r="PL74" s="103"/>
      <c r="PM74" s="103"/>
      <c r="PN74" s="103"/>
      <c r="PO74" s="103"/>
      <c r="PP74" s="103"/>
      <c r="PQ74" s="103"/>
      <c r="PR74" s="103"/>
      <c r="PS74" s="103"/>
      <c r="PT74" s="103"/>
      <c r="PU74" s="103"/>
      <c r="PV74" s="103"/>
      <c r="PW74" s="103"/>
      <c r="PX74" s="103"/>
      <c r="PY74" s="103"/>
      <c r="PZ74" s="103"/>
      <c r="QA74" s="103"/>
      <c r="QB74" s="103"/>
      <c r="QC74" s="103"/>
      <c r="QD74" s="103"/>
      <c r="QE74" s="103"/>
      <c r="QF74" s="103"/>
      <c r="QG74" s="103"/>
      <c r="QH74" s="103"/>
      <c r="QI74" s="103"/>
      <c r="QJ74" s="103"/>
      <c r="QK74" s="103"/>
      <c r="QL74" s="103"/>
      <c r="QM74" s="103"/>
      <c r="QN74" s="103"/>
      <c r="QO74" s="103"/>
      <c r="QP74" s="103"/>
      <c r="QQ74" s="103"/>
      <c r="QR74" s="103"/>
      <c r="QS74" s="103"/>
      <c r="QT74" s="103"/>
      <c r="QU74" s="103"/>
      <c r="QV74" s="103"/>
      <c r="QW74" s="103"/>
      <c r="QX74" s="103"/>
      <c r="QY74" s="103"/>
      <c r="QZ74" s="103"/>
      <c r="RA74" s="103"/>
      <c r="RB74" s="103"/>
      <c r="RC74" s="103"/>
      <c r="RD74" s="103"/>
      <c r="RE74" s="103"/>
      <c r="RF74" s="103"/>
      <c r="RG74" s="103"/>
      <c r="RH74" s="103"/>
      <c r="RI74" s="103"/>
      <c r="RJ74" s="103"/>
      <c r="RK74" s="103"/>
      <c r="RL74" s="103"/>
      <c r="RM74" s="103"/>
      <c r="RN74" s="103"/>
    </row>
    <row r="75" spans="1:482" s="60" customFormat="1" ht="11.25" x14ac:dyDescent="0.2">
      <c r="A75" s="125" t="s">
        <v>815</v>
      </c>
      <c r="B75" s="175" t="s">
        <v>888</v>
      </c>
      <c r="C75" s="161" t="s">
        <v>885</v>
      </c>
      <c r="D75" s="115">
        <f t="shared" si="325"/>
        <v>1880419.8000000003</v>
      </c>
      <c r="E75" s="114">
        <v>12990</v>
      </c>
      <c r="F75" s="114"/>
      <c r="G75" s="114"/>
      <c r="H75" s="114"/>
      <c r="I75" s="114">
        <v>3600</v>
      </c>
      <c r="J75" s="114">
        <v>12829.9</v>
      </c>
      <c r="K75" s="114"/>
      <c r="L75" s="114"/>
      <c r="M75" s="114"/>
      <c r="N75" s="114"/>
      <c r="O75" s="114"/>
      <c r="P75" s="114"/>
      <c r="Q75" s="114"/>
      <c r="R75" s="114">
        <v>30000</v>
      </c>
      <c r="S75" s="114">
        <v>1000</v>
      </c>
      <c r="T75" s="114"/>
      <c r="U75" s="114"/>
      <c r="V75" s="114"/>
      <c r="W75" s="114"/>
      <c r="X75" s="114"/>
      <c r="Y75" s="114">
        <v>1000</v>
      </c>
      <c r="Z75" s="114"/>
      <c r="AA75" s="114">
        <v>1000</v>
      </c>
      <c r="AB75" s="114"/>
      <c r="AC75" s="114">
        <v>9000</v>
      </c>
      <c r="AD75" s="114"/>
      <c r="AE75" s="114"/>
      <c r="AF75" s="114">
        <v>33600</v>
      </c>
      <c r="AG75" s="114"/>
      <c r="AH75" s="114">
        <v>10000</v>
      </c>
      <c r="AI75" s="114"/>
      <c r="AJ75" s="114"/>
      <c r="AK75" s="114">
        <v>3000</v>
      </c>
      <c r="AL75" s="114"/>
      <c r="AM75" s="114"/>
      <c r="AN75" s="114">
        <v>1500</v>
      </c>
      <c r="AO75" s="114"/>
      <c r="AP75" s="114"/>
      <c r="AQ75" s="114">
        <v>15880</v>
      </c>
      <c r="AR75" s="114"/>
      <c r="AS75" s="114">
        <v>8000</v>
      </c>
      <c r="AT75" s="114">
        <v>724333.7</v>
      </c>
      <c r="AU75" s="114"/>
      <c r="AV75" s="114"/>
      <c r="AW75" s="114"/>
      <c r="AX75" s="114">
        <v>4500</v>
      </c>
      <c r="AY75" s="114"/>
      <c r="AZ75" s="114">
        <v>2600</v>
      </c>
      <c r="BA75" s="114"/>
      <c r="BB75" s="114">
        <v>20000</v>
      </c>
      <c r="BC75" s="114">
        <v>30356.3</v>
      </c>
      <c r="BD75" s="114">
        <v>30800</v>
      </c>
      <c r="BE75" s="114"/>
      <c r="BF75" s="114"/>
      <c r="BG75" s="114">
        <v>5600</v>
      </c>
      <c r="BH75" s="114"/>
      <c r="BI75" s="114"/>
      <c r="BJ75" s="114">
        <v>6343.6</v>
      </c>
      <c r="BK75" s="114" t="s">
        <v>957</v>
      </c>
      <c r="BL75" s="103"/>
      <c r="BM75" s="103"/>
      <c r="BN75" s="103"/>
      <c r="BO75" s="103"/>
      <c r="BP75" s="103"/>
      <c r="BQ75" s="103"/>
      <c r="BR75" s="103"/>
      <c r="BS75" s="103"/>
      <c r="BT75" s="103"/>
      <c r="BU75" s="103"/>
      <c r="BV75" s="103"/>
      <c r="BW75" s="103"/>
      <c r="BX75" s="103"/>
      <c r="BY75" s="103"/>
      <c r="BZ75" s="103">
        <v>9300</v>
      </c>
      <c r="CA75" s="103"/>
      <c r="CB75" s="103"/>
      <c r="CC75" s="103">
        <v>23500</v>
      </c>
      <c r="CD75" s="103"/>
      <c r="CE75" s="103">
        <v>500</v>
      </c>
      <c r="CF75" s="103"/>
      <c r="CG75" s="103"/>
      <c r="CH75" s="103"/>
      <c r="CI75" s="103"/>
      <c r="CJ75" s="103"/>
      <c r="CK75" s="103">
        <v>1000</v>
      </c>
      <c r="CL75" s="103"/>
      <c r="CM75" s="103"/>
      <c r="CN75" s="103"/>
      <c r="CO75" s="103"/>
      <c r="CP75" s="103"/>
      <c r="CQ75" s="103"/>
      <c r="CR75" s="103"/>
      <c r="CS75" s="103">
        <v>150405.1</v>
      </c>
      <c r="CT75" s="103"/>
      <c r="CU75" s="103"/>
      <c r="CV75" s="103"/>
      <c r="CW75" s="103"/>
      <c r="CX75" s="103"/>
      <c r="CY75" s="103"/>
      <c r="CZ75" s="103"/>
      <c r="DA75" s="103"/>
      <c r="DB75" s="103"/>
      <c r="DC75" s="103"/>
      <c r="DD75" s="103"/>
      <c r="DE75" s="103"/>
      <c r="DF75" s="103"/>
      <c r="DG75" s="103"/>
      <c r="DH75" s="103"/>
      <c r="DI75" s="103"/>
      <c r="DJ75" s="103"/>
      <c r="DK75" s="103"/>
      <c r="DL75" s="103"/>
      <c r="DM75" s="103">
        <v>35000</v>
      </c>
      <c r="DN75" s="103"/>
      <c r="DO75" s="103"/>
      <c r="DP75" s="103"/>
      <c r="DQ75" s="103"/>
      <c r="DR75" s="103"/>
      <c r="DS75" s="103"/>
      <c r="DT75" s="103"/>
      <c r="DU75" s="103"/>
      <c r="DV75" s="103">
        <v>118008.8</v>
      </c>
      <c r="DW75" s="103"/>
      <c r="DX75" s="116"/>
      <c r="DY75" s="103"/>
      <c r="DZ75" s="103"/>
      <c r="EA75" s="103"/>
      <c r="EB75" s="103">
        <v>60000</v>
      </c>
      <c r="EC75" s="103"/>
      <c r="ED75" s="103"/>
      <c r="EE75" s="103"/>
      <c r="EF75" s="103"/>
      <c r="EG75" s="103"/>
      <c r="EH75" s="103"/>
      <c r="EI75" s="103"/>
      <c r="EJ75" s="103"/>
      <c r="EK75" s="103"/>
      <c r="EL75" s="103"/>
      <c r="EM75" s="103"/>
      <c r="EN75" s="103"/>
      <c r="EO75" s="103"/>
      <c r="EP75" s="103"/>
      <c r="EQ75" s="103">
        <v>320</v>
      </c>
      <c r="ER75" s="103"/>
      <c r="ES75" s="103"/>
      <c r="ET75" s="103"/>
      <c r="EU75" s="103"/>
      <c r="EV75" s="103">
        <v>1500</v>
      </c>
      <c r="EW75" s="103"/>
      <c r="EX75" s="103"/>
      <c r="EY75" s="103"/>
      <c r="EZ75" s="103"/>
      <c r="FA75" s="103"/>
      <c r="FB75" s="103"/>
      <c r="FC75" s="103"/>
      <c r="FD75" s="103"/>
      <c r="FE75" s="103"/>
      <c r="FF75" s="103"/>
      <c r="FG75" s="103"/>
      <c r="FH75" s="103">
        <v>10009.299999999999</v>
      </c>
      <c r="FI75" s="103"/>
      <c r="FJ75" s="103"/>
      <c r="FK75" s="103"/>
      <c r="FL75" s="103"/>
      <c r="FM75" s="103">
        <v>1000</v>
      </c>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v>2500</v>
      </c>
      <c r="HF75" s="103"/>
      <c r="HG75" s="103"/>
      <c r="HH75" s="103"/>
      <c r="HI75" s="103"/>
      <c r="HJ75" s="103"/>
      <c r="HK75" s="103"/>
      <c r="HL75" s="103"/>
      <c r="HM75" s="103"/>
      <c r="HN75" s="103"/>
      <c r="HO75" s="103"/>
      <c r="HP75" s="103"/>
      <c r="HQ75" s="103"/>
      <c r="HR75" s="103"/>
      <c r="HS75" s="103"/>
      <c r="HT75" s="103"/>
      <c r="HU75" s="103"/>
      <c r="HV75" s="103"/>
      <c r="HW75" s="103"/>
      <c r="HX75" s="103"/>
      <c r="HY75" s="103"/>
      <c r="HZ75" s="103"/>
      <c r="IA75" s="103"/>
      <c r="IB75" s="103"/>
      <c r="IC75" s="103"/>
      <c r="ID75" s="103">
        <v>10798</v>
      </c>
      <c r="IE75" s="103"/>
      <c r="IF75" s="103"/>
      <c r="IG75" s="103"/>
      <c r="IH75" s="103"/>
      <c r="II75" s="103"/>
      <c r="IJ75" s="103">
        <v>38650</v>
      </c>
      <c r="IK75" s="103"/>
      <c r="IL75" s="103"/>
      <c r="IM75" s="103">
        <v>7660</v>
      </c>
      <c r="IN75" s="103"/>
      <c r="IO75" s="103"/>
      <c r="IP75" s="103"/>
      <c r="IQ75" s="103"/>
      <c r="IR75" s="103"/>
      <c r="IS75" s="103"/>
      <c r="IT75" s="103"/>
      <c r="IU75" s="103"/>
      <c r="IV75" s="103"/>
      <c r="IW75" s="103"/>
      <c r="IX75" s="103"/>
      <c r="IY75" s="103"/>
      <c r="IZ75" s="103"/>
      <c r="JA75" s="103"/>
      <c r="JB75" s="103"/>
      <c r="JC75" s="103"/>
      <c r="JD75" s="103"/>
      <c r="JE75" s="103"/>
      <c r="JF75" s="103"/>
      <c r="JG75" s="103"/>
      <c r="JH75" s="103"/>
      <c r="JI75" s="103"/>
      <c r="JJ75" s="103"/>
      <c r="JK75" s="103"/>
      <c r="JL75" s="103"/>
      <c r="JM75" s="103">
        <v>2000</v>
      </c>
      <c r="JN75" s="103"/>
      <c r="JO75" s="103"/>
      <c r="JP75" s="103"/>
      <c r="JQ75" s="103"/>
      <c r="JR75" s="103"/>
      <c r="JS75" s="103"/>
      <c r="JT75" s="103"/>
      <c r="JU75" s="103"/>
      <c r="JV75" s="103"/>
      <c r="JW75" s="103">
        <v>3000</v>
      </c>
      <c r="JX75" s="103"/>
      <c r="JY75" s="103"/>
      <c r="JZ75" s="103"/>
      <c r="KA75" s="103">
        <v>5835.1</v>
      </c>
      <c r="KB75" s="103"/>
      <c r="KC75" s="103"/>
      <c r="KD75" s="103"/>
      <c r="KE75" s="103"/>
      <c r="KF75" s="103"/>
      <c r="KG75" s="103"/>
      <c r="KH75" s="103"/>
      <c r="KI75" s="103"/>
      <c r="KJ75" s="103">
        <v>294959.5</v>
      </c>
      <c r="KK75" s="103"/>
      <c r="KL75" s="103"/>
      <c r="KM75" s="103"/>
      <c r="KN75" s="103"/>
      <c r="KO75" s="103"/>
      <c r="KP75" s="103"/>
      <c r="KQ75" s="103"/>
      <c r="KR75" s="103">
        <v>24515</v>
      </c>
      <c r="KS75" s="103"/>
      <c r="KT75" s="103"/>
      <c r="KU75" s="103"/>
      <c r="KV75" s="103"/>
      <c r="KW75" s="103"/>
      <c r="KX75" s="103">
        <f>1000+3000+3000+400+600+20000+1000+600+1500+200</f>
        <v>31300</v>
      </c>
      <c r="KY75" s="103"/>
      <c r="KZ75" s="103"/>
      <c r="LA75" s="103"/>
      <c r="LB75" s="103">
        <v>1000</v>
      </c>
      <c r="LC75" s="103"/>
      <c r="LD75" s="103"/>
      <c r="LE75" s="103"/>
      <c r="LF75" s="103"/>
      <c r="LG75" s="103"/>
      <c r="LH75" s="103"/>
      <c r="LI75" s="103"/>
      <c r="LJ75" s="103"/>
      <c r="LK75" s="103"/>
      <c r="LL75" s="103"/>
      <c r="LM75" s="103"/>
      <c r="LN75" s="103"/>
      <c r="LO75" s="103"/>
      <c r="LP75" s="103"/>
      <c r="LQ75" s="103">
        <v>900</v>
      </c>
      <c r="LR75" s="103"/>
      <c r="LS75" s="103"/>
      <c r="LT75" s="103"/>
      <c r="LU75" s="103">
        <v>300</v>
      </c>
      <c r="LV75" s="103"/>
      <c r="LW75" s="103"/>
      <c r="LX75" s="103">
        <v>3000</v>
      </c>
      <c r="LY75" s="103"/>
      <c r="LZ75" s="103"/>
      <c r="MA75" s="103"/>
      <c r="MB75" s="103"/>
      <c r="MC75" s="103"/>
      <c r="MD75" s="103">
        <v>900</v>
      </c>
      <c r="ME75" s="103"/>
      <c r="MF75" s="103">
        <v>1000</v>
      </c>
      <c r="MG75" s="103"/>
      <c r="MH75" s="103"/>
      <c r="MI75" s="103"/>
      <c r="MJ75" s="103"/>
      <c r="MK75" s="103"/>
      <c r="ML75" s="103"/>
      <c r="MM75" s="103">
        <v>5000</v>
      </c>
      <c r="MN75" s="103"/>
      <c r="MO75" s="103"/>
      <c r="MP75" s="103"/>
      <c r="MQ75" s="103"/>
      <c r="MR75" s="103"/>
      <c r="MS75" s="103">
        <v>2000</v>
      </c>
      <c r="MT75" s="103"/>
      <c r="MU75" s="103"/>
      <c r="MV75" s="103"/>
      <c r="MW75" s="103"/>
      <c r="MX75" s="103">
        <v>2000</v>
      </c>
      <c r="MY75" s="103"/>
      <c r="MZ75" s="103"/>
      <c r="NA75" s="103"/>
      <c r="NB75" s="103">
        <v>1000</v>
      </c>
      <c r="NC75" s="103"/>
      <c r="ND75" s="103"/>
      <c r="NE75" s="103"/>
      <c r="NF75" s="103"/>
      <c r="NG75" s="103"/>
      <c r="NH75" s="103"/>
      <c r="NI75" s="103"/>
      <c r="NJ75" s="103"/>
      <c r="NK75" s="103"/>
      <c r="NL75" s="103"/>
      <c r="NM75" s="103">
        <v>10000</v>
      </c>
      <c r="NN75" s="103"/>
      <c r="NO75" s="103"/>
      <c r="NP75" s="103">
        <v>1000</v>
      </c>
      <c r="NQ75" s="103"/>
      <c r="NR75" s="103"/>
      <c r="NS75" s="103"/>
      <c r="NT75" s="103"/>
      <c r="NU75" s="103"/>
      <c r="NV75" s="103"/>
      <c r="NW75" s="103"/>
      <c r="NX75" s="103"/>
      <c r="NY75" s="103"/>
      <c r="NZ75" s="103"/>
      <c r="OA75" s="103">
        <v>5000</v>
      </c>
      <c r="OB75" s="103"/>
      <c r="OC75" s="103">
        <v>1118</v>
      </c>
      <c r="OD75" s="103"/>
      <c r="OE75" s="103"/>
      <c r="OF75" s="103"/>
      <c r="OG75" s="103"/>
      <c r="OH75" s="103"/>
      <c r="OI75" s="103"/>
      <c r="OJ75" s="103"/>
      <c r="OK75" s="103"/>
      <c r="OL75" s="103">
        <v>1155</v>
      </c>
      <c r="OM75" s="103"/>
      <c r="ON75" s="103"/>
      <c r="OO75" s="103"/>
      <c r="OP75" s="103"/>
      <c r="OQ75" s="103"/>
      <c r="OR75" s="103"/>
      <c r="OS75" s="103">
        <v>1500</v>
      </c>
      <c r="OT75" s="103">
        <v>11000</v>
      </c>
      <c r="OU75" s="103"/>
      <c r="OV75" s="103"/>
      <c r="OW75" s="103"/>
      <c r="OX75" s="103"/>
      <c r="OY75" s="103"/>
      <c r="OZ75" s="103"/>
      <c r="PA75" s="103"/>
      <c r="PB75" s="103">
        <v>1802.5</v>
      </c>
      <c r="PC75" s="103"/>
      <c r="PD75" s="103"/>
      <c r="PE75" s="103"/>
      <c r="PF75" s="103"/>
      <c r="PG75" s="103"/>
      <c r="PH75" s="103"/>
      <c r="PI75" s="103"/>
      <c r="PJ75" s="103">
        <v>3000</v>
      </c>
      <c r="PK75" s="103"/>
      <c r="PL75" s="103"/>
      <c r="PM75" s="103"/>
      <c r="PN75" s="103"/>
      <c r="PO75" s="103"/>
      <c r="PP75" s="103"/>
      <c r="PQ75" s="103"/>
      <c r="PR75" s="103"/>
      <c r="PS75" s="103"/>
      <c r="PT75" s="103"/>
      <c r="PU75" s="103"/>
      <c r="PV75" s="103"/>
      <c r="PW75" s="103">
        <f>1000+2300+500+500</f>
        <v>4300</v>
      </c>
      <c r="PX75" s="103"/>
      <c r="PY75" s="103"/>
      <c r="PZ75" s="103"/>
      <c r="QA75" s="103"/>
      <c r="QB75" s="103"/>
      <c r="QC75" s="103">
        <v>300</v>
      </c>
      <c r="QD75" s="103">
        <v>1600</v>
      </c>
      <c r="QE75" s="103"/>
      <c r="QF75" s="103"/>
      <c r="QG75" s="103"/>
      <c r="QH75" s="103"/>
      <c r="QI75" s="103"/>
      <c r="QJ75" s="103">
        <v>7500</v>
      </c>
      <c r="QK75" s="103"/>
      <c r="QL75" s="103"/>
      <c r="QM75" s="103">
        <v>7000</v>
      </c>
      <c r="QN75" s="103"/>
      <c r="QO75" s="103"/>
      <c r="QP75" s="103">
        <v>3000</v>
      </c>
      <c r="QQ75" s="103"/>
      <c r="QR75" s="103"/>
      <c r="QS75" s="103"/>
      <c r="QT75" s="103"/>
      <c r="QU75" s="103"/>
      <c r="QV75" s="103"/>
      <c r="QW75" s="103">
        <v>1650</v>
      </c>
      <c r="QX75" s="103"/>
      <c r="QY75" s="103">
        <v>2700</v>
      </c>
      <c r="QZ75" s="103"/>
      <c r="RA75" s="103"/>
      <c r="RB75" s="103"/>
      <c r="RC75" s="103"/>
      <c r="RD75" s="103"/>
      <c r="RE75" s="103"/>
      <c r="RF75" s="103"/>
      <c r="RG75" s="103"/>
      <c r="RH75" s="103"/>
      <c r="RI75" s="103"/>
      <c r="RJ75" s="103"/>
      <c r="RK75" s="103"/>
      <c r="RL75" s="103"/>
      <c r="RM75" s="103"/>
      <c r="RN75" s="103"/>
    </row>
    <row r="76" spans="1:482" s="60" customFormat="1" ht="11.25" x14ac:dyDescent="0.2">
      <c r="A76" s="125" t="s">
        <v>816</v>
      </c>
      <c r="B76" s="175"/>
      <c r="C76" s="161" t="s">
        <v>886</v>
      </c>
      <c r="D76" s="115">
        <f t="shared" si="325"/>
        <v>565600.29999999993</v>
      </c>
      <c r="E76" s="114">
        <v>4160</v>
      </c>
      <c r="F76" s="114"/>
      <c r="G76" s="114"/>
      <c r="H76" s="114"/>
      <c r="I76" s="114"/>
      <c r="J76" s="114"/>
      <c r="K76" s="114"/>
      <c r="L76" s="114"/>
      <c r="M76" s="114"/>
      <c r="N76" s="114"/>
      <c r="O76" s="114"/>
      <c r="P76" s="114"/>
      <c r="Q76" s="114"/>
      <c r="R76" s="114">
        <v>6000</v>
      </c>
      <c r="S76" s="114"/>
      <c r="T76" s="114"/>
      <c r="U76" s="114"/>
      <c r="V76" s="114"/>
      <c r="W76" s="114"/>
      <c r="X76" s="114"/>
      <c r="Y76" s="114">
        <v>27200</v>
      </c>
      <c r="Z76" s="114"/>
      <c r="AA76" s="114"/>
      <c r="AB76" s="114"/>
      <c r="AC76" s="114"/>
      <c r="AD76" s="114"/>
      <c r="AE76" s="114"/>
      <c r="AF76" s="114"/>
      <c r="AG76" s="114"/>
      <c r="AH76" s="114">
        <v>42000</v>
      </c>
      <c r="AI76" s="114"/>
      <c r="AJ76" s="114"/>
      <c r="AK76" s="114">
        <v>3910</v>
      </c>
      <c r="AL76" s="114"/>
      <c r="AM76" s="114"/>
      <c r="AN76" s="114"/>
      <c r="AO76" s="114"/>
      <c r="AP76" s="114"/>
      <c r="AQ76" s="114">
        <v>4106.5</v>
      </c>
      <c r="AR76" s="114"/>
      <c r="AS76" s="114">
        <v>2500</v>
      </c>
      <c r="AT76" s="114">
        <v>47250</v>
      </c>
      <c r="AU76" s="114"/>
      <c r="AV76" s="114"/>
      <c r="AW76" s="114"/>
      <c r="AX76" s="114"/>
      <c r="AY76" s="114"/>
      <c r="AZ76" s="114"/>
      <c r="BA76" s="114"/>
      <c r="BB76" s="114"/>
      <c r="BC76" s="114"/>
      <c r="BD76" s="114">
        <v>720.9</v>
      </c>
      <c r="BE76" s="114">
        <v>27936.5</v>
      </c>
      <c r="BF76" s="114"/>
      <c r="BG76" s="114"/>
      <c r="BH76" s="114"/>
      <c r="BI76" s="114"/>
      <c r="BJ76" s="114"/>
      <c r="BK76" s="114" t="s">
        <v>958</v>
      </c>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v>31226.400000000001</v>
      </c>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16"/>
      <c r="DY76" s="103"/>
      <c r="DZ76" s="103"/>
      <c r="EA76" s="103"/>
      <c r="EB76" s="103"/>
      <c r="EC76" s="103"/>
      <c r="ED76" s="103"/>
      <c r="EE76" s="103"/>
      <c r="EF76" s="103"/>
      <c r="EG76" s="103"/>
      <c r="EH76" s="103"/>
      <c r="EI76" s="103"/>
      <c r="EJ76" s="103"/>
      <c r="EK76" s="103"/>
      <c r="EL76" s="103"/>
      <c r="EM76" s="103"/>
      <c r="EN76" s="103"/>
      <c r="EO76" s="103"/>
      <c r="EP76" s="103"/>
      <c r="EQ76" s="103">
        <v>4630.8</v>
      </c>
      <c r="ER76" s="103"/>
      <c r="ES76" s="103"/>
      <c r="ET76" s="103"/>
      <c r="EU76" s="103"/>
      <c r="EV76" s="103"/>
      <c r="EW76" s="103"/>
      <c r="EX76" s="103"/>
      <c r="EY76" s="103"/>
      <c r="EZ76" s="103"/>
      <c r="FA76" s="103"/>
      <c r="FB76" s="103"/>
      <c r="FC76" s="103"/>
      <c r="FD76" s="103"/>
      <c r="FE76" s="103"/>
      <c r="FF76" s="103"/>
      <c r="FG76" s="103"/>
      <c r="FH76" s="103">
        <v>13900</v>
      </c>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3"/>
      <c r="HN76" s="103"/>
      <c r="HO76" s="103"/>
      <c r="HP76" s="103"/>
      <c r="HQ76" s="103"/>
      <c r="HR76" s="103"/>
      <c r="HS76" s="103"/>
      <c r="HT76" s="103"/>
      <c r="HU76" s="103"/>
      <c r="HV76" s="103"/>
      <c r="HW76" s="103"/>
      <c r="HX76" s="103"/>
      <c r="HY76" s="103"/>
      <c r="HZ76" s="103"/>
      <c r="IA76" s="103"/>
      <c r="IB76" s="103"/>
      <c r="IC76" s="103"/>
      <c r="ID76" s="103"/>
      <c r="IE76" s="103"/>
      <c r="IF76" s="103"/>
      <c r="IG76" s="103"/>
      <c r="IH76" s="103"/>
      <c r="II76" s="103"/>
      <c r="IJ76" s="103"/>
      <c r="IK76" s="103"/>
      <c r="IL76" s="103"/>
      <c r="IM76" s="103">
        <v>14620</v>
      </c>
      <c r="IN76" s="103"/>
      <c r="IO76" s="103"/>
      <c r="IP76" s="103"/>
      <c r="IQ76" s="103"/>
      <c r="IR76" s="103"/>
      <c r="IS76" s="103"/>
      <c r="IT76" s="103"/>
      <c r="IU76" s="103"/>
      <c r="IV76" s="103"/>
      <c r="IW76" s="103"/>
      <c r="IX76" s="103"/>
      <c r="IY76" s="103"/>
      <c r="IZ76" s="103"/>
      <c r="JA76" s="103"/>
      <c r="JB76" s="103"/>
      <c r="JC76" s="103"/>
      <c r="JD76" s="103"/>
      <c r="JE76" s="103"/>
      <c r="JF76" s="103"/>
      <c r="JG76" s="103"/>
      <c r="JH76" s="103"/>
      <c r="JI76" s="103"/>
      <c r="JJ76" s="103"/>
      <c r="JK76" s="103"/>
      <c r="JL76" s="103"/>
      <c r="JM76" s="103"/>
      <c r="JN76" s="103"/>
      <c r="JO76" s="103"/>
      <c r="JP76" s="103"/>
      <c r="JQ76" s="103"/>
      <c r="JR76" s="103"/>
      <c r="JS76" s="103"/>
      <c r="JT76" s="103"/>
      <c r="JU76" s="103"/>
      <c r="JV76" s="103"/>
      <c r="JW76" s="103"/>
      <c r="JX76" s="103"/>
      <c r="JY76" s="103"/>
      <c r="JZ76" s="103"/>
      <c r="KA76" s="103"/>
      <c r="KB76" s="103"/>
      <c r="KC76" s="103"/>
      <c r="KD76" s="103"/>
      <c r="KE76" s="103"/>
      <c r="KF76" s="103"/>
      <c r="KG76" s="103"/>
      <c r="KH76" s="103"/>
      <c r="KI76" s="103"/>
      <c r="KJ76" s="103">
        <v>206031.6</v>
      </c>
      <c r="KK76" s="103"/>
      <c r="KL76" s="103"/>
      <c r="KM76" s="103"/>
      <c r="KN76" s="103"/>
      <c r="KO76" s="103"/>
      <c r="KP76" s="103"/>
      <c r="KQ76" s="103"/>
      <c r="KR76" s="103">
        <v>20600</v>
      </c>
      <c r="KS76" s="103"/>
      <c r="KT76" s="103"/>
      <c r="KU76" s="103"/>
      <c r="KV76" s="103"/>
      <c r="KW76" s="103"/>
      <c r="KX76" s="103"/>
      <c r="KY76" s="103"/>
      <c r="KZ76" s="103"/>
      <c r="LA76" s="103"/>
      <c r="LB76" s="103"/>
      <c r="LC76" s="103"/>
      <c r="LD76" s="103"/>
      <c r="LE76" s="103"/>
      <c r="LF76" s="103"/>
      <c r="LG76" s="103"/>
      <c r="LH76" s="103"/>
      <c r="LI76" s="103"/>
      <c r="LJ76" s="103"/>
      <c r="LK76" s="103"/>
      <c r="LL76" s="103"/>
      <c r="LM76" s="103"/>
      <c r="LN76" s="103"/>
      <c r="LO76" s="103"/>
      <c r="LP76" s="103"/>
      <c r="LQ76" s="103"/>
      <c r="LR76" s="103"/>
      <c r="LS76" s="103"/>
      <c r="LT76" s="103"/>
      <c r="LU76" s="103"/>
      <c r="LV76" s="103">
        <v>41150</v>
      </c>
      <c r="LW76" s="103"/>
      <c r="LX76" s="103"/>
      <c r="LY76" s="103"/>
      <c r="LZ76" s="103"/>
      <c r="MA76" s="103"/>
      <c r="MB76" s="103"/>
      <c r="MC76" s="103"/>
      <c r="MD76" s="103"/>
      <c r="ME76" s="103"/>
      <c r="MF76" s="103"/>
      <c r="MG76" s="103"/>
      <c r="MH76" s="103"/>
      <c r="MI76" s="103"/>
      <c r="MJ76" s="103"/>
      <c r="MK76" s="103"/>
      <c r="ML76" s="103"/>
      <c r="MM76" s="103"/>
      <c r="MN76" s="103"/>
      <c r="MO76" s="103"/>
      <c r="MP76" s="103"/>
      <c r="MQ76" s="103"/>
      <c r="MR76" s="103"/>
      <c r="MS76" s="103"/>
      <c r="MT76" s="103"/>
      <c r="MU76" s="103"/>
      <c r="MV76" s="103"/>
      <c r="MW76" s="103"/>
      <c r="MX76" s="103">
        <v>16243.1</v>
      </c>
      <c r="MY76" s="103"/>
      <c r="MZ76" s="103"/>
      <c r="NA76" s="103"/>
      <c r="NB76" s="103"/>
      <c r="NC76" s="103"/>
      <c r="ND76" s="103"/>
      <c r="NE76" s="103"/>
      <c r="NF76" s="103"/>
      <c r="NG76" s="103"/>
      <c r="NH76" s="103"/>
      <c r="NI76" s="103"/>
      <c r="NJ76" s="103"/>
      <c r="NK76" s="103"/>
      <c r="NL76" s="103"/>
      <c r="NM76" s="103"/>
      <c r="NN76" s="103">
        <v>500</v>
      </c>
      <c r="NO76" s="103"/>
      <c r="NP76" s="103"/>
      <c r="NQ76" s="103"/>
      <c r="NR76" s="103"/>
      <c r="NS76" s="103"/>
      <c r="NT76" s="103"/>
      <c r="NU76" s="103"/>
      <c r="NV76" s="103"/>
      <c r="NW76" s="103"/>
      <c r="NX76" s="103"/>
      <c r="NY76" s="103"/>
      <c r="NZ76" s="103"/>
      <c r="OA76" s="103"/>
      <c r="OB76" s="103"/>
      <c r="OC76" s="103"/>
      <c r="OD76" s="103"/>
      <c r="OE76" s="103"/>
      <c r="OF76" s="103"/>
      <c r="OG76" s="103"/>
      <c r="OH76" s="103"/>
      <c r="OI76" s="103"/>
      <c r="OJ76" s="103"/>
      <c r="OK76" s="103"/>
      <c r="OL76" s="103"/>
      <c r="OM76" s="103"/>
      <c r="ON76" s="103"/>
      <c r="OO76" s="103"/>
      <c r="OP76" s="103"/>
      <c r="OQ76" s="103"/>
      <c r="OR76" s="103"/>
      <c r="OS76" s="103"/>
      <c r="OT76" s="103">
        <v>3000</v>
      </c>
      <c r="OU76" s="103"/>
      <c r="OV76" s="103"/>
      <c r="OW76" s="103"/>
      <c r="OX76" s="103">
        <v>1000</v>
      </c>
      <c r="OY76" s="103"/>
      <c r="OZ76" s="103"/>
      <c r="PA76" s="103"/>
      <c r="PB76" s="103"/>
      <c r="PC76" s="103"/>
      <c r="PD76" s="103"/>
      <c r="PE76" s="103"/>
      <c r="PF76" s="103"/>
      <c r="PG76" s="103"/>
      <c r="PH76" s="103"/>
      <c r="PI76" s="103"/>
      <c r="PJ76" s="103">
        <v>6614.5</v>
      </c>
      <c r="PK76" s="103"/>
      <c r="PL76" s="103"/>
      <c r="PM76" s="103"/>
      <c r="PN76" s="103"/>
      <c r="PO76" s="103"/>
      <c r="PP76" s="103"/>
      <c r="PQ76" s="103"/>
      <c r="PR76" s="103"/>
      <c r="PS76" s="103"/>
      <c r="PT76" s="103"/>
      <c r="PU76" s="103"/>
      <c r="PV76" s="103"/>
      <c r="PW76" s="103"/>
      <c r="PX76" s="103"/>
      <c r="PY76" s="103"/>
      <c r="PZ76" s="103"/>
      <c r="QA76" s="103"/>
      <c r="QB76" s="103"/>
      <c r="QC76" s="103"/>
      <c r="QD76" s="103"/>
      <c r="QE76" s="103"/>
      <c r="QF76" s="103"/>
      <c r="QG76" s="103"/>
      <c r="QH76" s="103"/>
      <c r="QI76" s="103"/>
      <c r="QJ76" s="103">
        <v>31300</v>
      </c>
      <c r="QK76" s="103"/>
      <c r="QL76" s="103">
        <v>9000</v>
      </c>
      <c r="QM76" s="103"/>
      <c r="QN76" s="103"/>
      <c r="QO76" s="103"/>
      <c r="QP76" s="103"/>
      <c r="QQ76" s="103"/>
      <c r="QR76" s="103"/>
      <c r="QS76" s="103"/>
      <c r="QT76" s="103"/>
      <c r="QU76" s="103"/>
      <c r="QV76" s="103"/>
      <c r="QW76" s="103"/>
      <c r="QX76" s="103"/>
      <c r="QY76" s="103"/>
      <c r="QZ76" s="103"/>
      <c r="RA76" s="103"/>
      <c r="RB76" s="103"/>
      <c r="RC76" s="103"/>
      <c r="RD76" s="103"/>
      <c r="RE76" s="103"/>
      <c r="RF76" s="103"/>
      <c r="RG76" s="103"/>
      <c r="RH76" s="103"/>
      <c r="RI76" s="103"/>
      <c r="RJ76" s="103"/>
      <c r="RK76" s="103"/>
      <c r="RL76" s="103"/>
      <c r="RM76" s="103"/>
      <c r="RN76" s="103"/>
    </row>
    <row r="77" spans="1:482" s="60" customFormat="1" ht="10.5" customHeight="1" x14ac:dyDescent="0.2">
      <c r="A77" s="125" t="s">
        <v>817</v>
      </c>
      <c r="B77" s="183" t="s">
        <v>889</v>
      </c>
      <c r="C77" s="161" t="s">
        <v>885</v>
      </c>
      <c r="D77" s="115">
        <f t="shared" si="325"/>
        <v>0</v>
      </c>
      <c r="E77" s="114"/>
      <c r="F77" s="114"/>
      <c r="G77" s="114"/>
      <c r="H77" s="114"/>
      <c r="I77" s="144">
        <f t="shared" ref="I77:AG77" si="326">SUM(I78:I89)</f>
        <v>0</v>
      </c>
      <c r="J77" s="144">
        <f t="shared" si="326"/>
        <v>0</v>
      </c>
      <c r="K77" s="144">
        <f t="shared" si="326"/>
        <v>0</v>
      </c>
      <c r="L77" s="144">
        <f t="shared" si="326"/>
        <v>0</v>
      </c>
      <c r="M77" s="144">
        <f t="shared" si="326"/>
        <v>0</v>
      </c>
      <c r="N77" s="144">
        <f t="shared" si="326"/>
        <v>0</v>
      </c>
      <c r="O77" s="144">
        <f t="shared" si="326"/>
        <v>0</v>
      </c>
      <c r="P77" s="144">
        <f t="shared" si="326"/>
        <v>0</v>
      </c>
      <c r="Q77" s="144">
        <f t="shared" si="326"/>
        <v>0</v>
      </c>
      <c r="R77" s="144">
        <f t="shared" si="326"/>
        <v>0</v>
      </c>
      <c r="S77" s="144">
        <f t="shared" si="326"/>
        <v>0</v>
      </c>
      <c r="T77" s="144">
        <f t="shared" si="326"/>
        <v>0</v>
      </c>
      <c r="U77" s="144">
        <f t="shared" si="326"/>
        <v>0</v>
      </c>
      <c r="V77" s="144">
        <f t="shared" si="326"/>
        <v>0</v>
      </c>
      <c r="W77" s="144">
        <f t="shared" si="326"/>
        <v>0</v>
      </c>
      <c r="X77" s="144">
        <f t="shared" si="326"/>
        <v>0</v>
      </c>
      <c r="Y77" s="144">
        <f t="shared" si="326"/>
        <v>0</v>
      </c>
      <c r="Z77" s="144">
        <f t="shared" si="326"/>
        <v>0</v>
      </c>
      <c r="AA77" s="144">
        <f t="shared" si="326"/>
        <v>0</v>
      </c>
      <c r="AB77" s="144">
        <f t="shared" si="326"/>
        <v>0</v>
      </c>
      <c r="AC77" s="144">
        <f t="shared" si="326"/>
        <v>0</v>
      </c>
      <c r="AD77" s="144">
        <f t="shared" si="326"/>
        <v>0</v>
      </c>
      <c r="AE77" s="144">
        <f t="shared" si="326"/>
        <v>0</v>
      </c>
      <c r="AF77" s="144">
        <f t="shared" si="326"/>
        <v>0</v>
      </c>
      <c r="AG77" s="144">
        <f t="shared" si="326"/>
        <v>0</v>
      </c>
      <c r="AH77" s="114"/>
      <c r="AI77" s="144">
        <f t="shared" ref="AI77:AU77" si="327">SUM(AI78:AI89)</f>
        <v>0</v>
      </c>
      <c r="AJ77" s="144">
        <f t="shared" si="327"/>
        <v>0</v>
      </c>
      <c r="AK77" s="144">
        <f t="shared" si="327"/>
        <v>0</v>
      </c>
      <c r="AL77" s="144">
        <f t="shared" si="327"/>
        <v>0</v>
      </c>
      <c r="AM77" s="144">
        <f t="shared" si="327"/>
        <v>0</v>
      </c>
      <c r="AN77" s="144">
        <f t="shared" si="327"/>
        <v>0</v>
      </c>
      <c r="AO77" s="144">
        <f t="shared" si="327"/>
        <v>0</v>
      </c>
      <c r="AP77" s="144">
        <f t="shared" si="327"/>
        <v>0</v>
      </c>
      <c r="AQ77" s="144">
        <f t="shared" si="327"/>
        <v>0</v>
      </c>
      <c r="AR77" s="144">
        <f t="shared" si="327"/>
        <v>0</v>
      </c>
      <c r="AS77" s="144">
        <f t="shared" si="327"/>
        <v>0</v>
      </c>
      <c r="AT77" s="144">
        <f t="shared" si="327"/>
        <v>0</v>
      </c>
      <c r="AU77" s="144">
        <f t="shared" si="327"/>
        <v>0</v>
      </c>
      <c r="AV77" s="114"/>
      <c r="AW77" s="114"/>
      <c r="AX77" s="114"/>
      <c r="AY77" s="114"/>
      <c r="AZ77" s="144">
        <f>SUM(AZ78:AZ89)</f>
        <v>0</v>
      </c>
      <c r="BA77" s="144">
        <f>SUM(BA78:BA89)</f>
        <v>0</v>
      </c>
      <c r="BB77" s="144">
        <f>SUM(BB78:BB89)</f>
        <v>0</v>
      </c>
      <c r="BC77" s="144">
        <f>SUM(BC78:BC89)</f>
        <v>0</v>
      </c>
      <c r="BD77" s="144">
        <f>SUM(BD78:BD89)</f>
        <v>0</v>
      </c>
      <c r="BE77" s="114"/>
      <c r="BF77" s="114"/>
      <c r="BG77" s="144">
        <f>SUM(BG78:BG89)</f>
        <v>0</v>
      </c>
      <c r="BH77" s="144">
        <f>SUM(BH78:BH89)</f>
        <v>0</v>
      </c>
      <c r="BI77" s="144">
        <f>SUM(BI78:BI89)</f>
        <v>0</v>
      </c>
      <c r="BJ77" s="144">
        <f>SUM(BJ78:BJ89)</f>
        <v>0</v>
      </c>
      <c r="BK77" s="144" t="s">
        <v>959</v>
      </c>
      <c r="BL77" s="107">
        <f t="shared" ref="BL77:CS77" si="328">SUM(BL78:BL89)</f>
        <v>0</v>
      </c>
      <c r="BM77" s="107">
        <f t="shared" si="328"/>
        <v>0</v>
      </c>
      <c r="BN77" s="107">
        <f t="shared" si="328"/>
        <v>0</v>
      </c>
      <c r="BO77" s="107">
        <f t="shared" si="328"/>
        <v>0</v>
      </c>
      <c r="BP77" s="107">
        <f t="shared" si="328"/>
        <v>0</v>
      </c>
      <c r="BQ77" s="107">
        <f t="shared" si="328"/>
        <v>0</v>
      </c>
      <c r="BR77" s="107">
        <f t="shared" si="328"/>
        <v>0</v>
      </c>
      <c r="BS77" s="107">
        <f t="shared" si="328"/>
        <v>0</v>
      </c>
      <c r="BT77" s="107">
        <f t="shared" si="328"/>
        <v>0</v>
      </c>
      <c r="BU77" s="107">
        <f t="shared" si="328"/>
        <v>0</v>
      </c>
      <c r="BV77" s="107">
        <f t="shared" si="328"/>
        <v>0</v>
      </c>
      <c r="BW77" s="107">
        <f t="shared" si="328"/>
        <v>0</v>
      </c>
      <c r="BX77" s="107">
        <f t="shared" si="328"/>
        <v>0</v>
      </c>
      <c r="BY77" s="107">
        <f t="shared" si="328"/>
        <v>0</v>
      </c>
      <c r="BZ77" s="107">
        <f t="shared" si="328"/>
        <v>0</v>
      </c>
      <c r="CA77" s="107">
        <f t="shared" si="328"/>
        <v>0</v>
      </c>
      <c r="CB77" s="107">
        <f t="shared" si="328"/>
        <v>0</v>
      </c>
      <c r="CC77" s="107">
        <f t="shared" si="328"/>
        <v>0</v>
      </c>
      <c r="CD77" s="107">
        <f t="shared" si="328"/>
        <v>0</v>
      </c>
      <c r="CE77" s="107">
        <f t="shared" si="328"/>
        <v>0</v>
      </c>
      <c r="CF77" s="107">
        <f t="shared" si="328"/>
        <v>0</v>
      </c>
      <c r="CG77" s="107">
        <f t="shared" si="328"/>
        <v>0</v>
      </c>
      <c r="CH77" s="107">
        <f t="shared" si="328"/>
        <v>0</v>
      </c>
      <c r="CI77" s="107">
        <f t="shared" si="328"/>
        <v>0</v>
      </c>
      <c r="CJ77" s="107">
        <f t="shared" si="328"/>
        <v>0</v>
      </c>
      <c r="CK77" s="107">
        <f t="shared" si="328"/>
        <v>0</v>
      </c>
      <c r="CL77" s="107">
        <f t="shared" si="328"/>
        <v>0</v>
      </c>
      <c r="CM77" s="107">
        <f t="shared" si="328"/>
        <v>0</v>
      </c>
      <c r="CN77" s="107">
        <f t="shared" si="328"/>
        <v>0</v>
      </c>
      <c r="CO77" s="107">
        <f t="shared" si="328"/>
        <v>0</v>
      </c>
      <c r="CP77" s="107">
        <f t="shared" si="328"/>
        <v>0</v>
      </c>
      <c r="CQ77" s="107">
        <f t="shared" si="328"/>
        <v>0</v>
      </c>
      <c r="CR77" s="107">
        <f t="shared" si="328"/>
        <v>0</v>
      </c>
      <c r="CS77" s="107">
        <f t="shared" si="328"/>
        <v>0</v>
      </c>
      <c r="CT77" s="99"/>
      <c r="CU77" s="99"/>
      <c r="CV77" s="99"/>
      <c r="CW77" s="99"/>
      <c r="CX77" s="99"/>
      <c r="CY77" s="107">
        <f>SUM(CY78:CY89)</f>
        <v>0</v>
      </c>
      <c r="CZ77" s="99"/>
      <c r="DA77" s="99"/>
      <c r="DB77" s="99"/>
      <c r="DC77" s="99"/>
      <c r="DD77" s="99"/>
      <c r="DE77" s="99"/>
      <c r="DF77" s="107">
        <f>SUM(DF78:DF89)</f>
        <v>0</v>
      </c>
      <c r="DG77" s="107">
        <f>SUM(DG78:DG89)</f>
        <v>0</v>
      </c>
      <c r="DH77" s="99"/>
      <c r="DI77" s="99"/>
      <c r="DJ77" s="99"/>
      <c r="DK77" s="99"/>
      <c r="DL77" s="107">
        <f>SUM(DL78:DL89)</f>
        <v>0</v>
      </c>
      <c r="DM77" s="107">
        <f>SUM(DM78:DM89)</f>
        <v>0</v>
      </c>
      <c r="DN77" s="107">
        <f>SUM(DN78:DN89)</f>
        <v>0</v>
      </c>
      <c r="DO77" s="107">
        <f>SUM(DO78:DO89)</f>
        <v>0</v>
      </c>
      <c r="DP77" s="99"/>
      <c r="DQ77" s="99"/>
      <c r="DR77" s="99"/>
      <c r="DS77" s="99"/>
      <c r="DT77" s="99"/>
      <c r="DU77" s="99"/>
      <c r="DV77" s="99"/>
      <c r="DW77" s="99"/>
      <c r="DX77" s="102"/>
      <c r="DY77" s="99"/>
      <c r="DZ77" s="99"/>
      <c r="EA77" s="99"/>
      <c r="EB77" s="99"/>
      <c r="EC77" s="99"/>
      <c r="ED77" s="99"/>
      <c r="EE77" s="107">
        <f>SUM(EE78:EE89)</f>
        <v>0</v>
      </c>
      <c r="EF77" s="99"/>
      <c r="EG77" s="99"/>
      <c r="EH77" s="99"/>
      <c r="EI77" s="107">
        <f t="shared" ref="EI77:ET77" si="329">SUM(EI78:EI89)</f>
        <v>0</v>
      </c>
      <c r="EJ77" s="107">
        <f t="shared" si="329"/>
        <v>0</v>
      </c>
      <c r="EK77" s="107">
        <f>SUM(EK78:EK89)</f>
        <v>0</v>
      </c>
      <c r="EL77" s="107">
        <f t="shared" si="329"/>
        <v>0</v>
      </c>
      <c r="EM77" s="107">
        <f t="shared" si="329"/>
        <v>0</v>
      </c>
      <c r="EN77" s="107">
        <f t="shared" si="329"/>
        <v>0</v>
      </c>
      <c r="EO77" s="107">
        <f t="shared" si="329"/>
        <v>0</v>
      </c>
      <c r="EP77" s="107">
        <f t="shared" si="329"/>
        <v>0</v>
      </c>
      <c r="EQ77" s="107">
        <f t="shared" si="329"/>
        <v>0</v>
      </c>
      <c r="ER77" s="107">
        <f t="shared" si="329"/>
        <v>0</v>
      </c>
      <c r="ES77" s="107">
        <f t="shared" si="329"/>
        <v>0</v>
      </c>
      <c r="ET77" s="107">
        <f t="shared" si="329"/>
        <v>0</v>
      </c>
      <c r="EU77" s="99"/>
      <c r="EV77" s="107">
        <f>SUM(EV78:EV89)</f>
        <v>0</v>
      </c>
      <c r="EW77" s="107">
        <f t="shared" ref="EW77:OV77" si="330">SUM(EW78:EW89)</f>
        <v>0</v>
      </c>
      <c r="EX77" s="107">
        <f t="shared" si="330"/>
        <v>0</v>
      </c>
      <c r="EY77" s="107">
        <f t="shared" si="330"/>
        <v>0</v>
      </c>
      <c r="EZ77" s="107">
        <f>SUM(EZ78:EZ89)</f>
        <v>0</v>
      </c>
      <c r="FA77" s="107">
        <f>SUM(FA78:FA89)</f>
        <v>0</v>
      </c>
      <c r="FB77" s="107">
        <f>SUM(FB78:FB89)</f>
        <v>0</v>
      </c>
      <c r="FC77" s="107">
        <f>SUM(FC78:FC89)</f>
        <v>0</v>
      </c>
      <c r="FD77" s="107">
        <f t="shared" si="330"/>
        <v>0</v>
      </c>
      <c r="FE77" s="107">
        <f t="shared" si="330"/>
        <v>0</v>
      </c>
      <c r="FF77" s="107">
        <f t="shared" ref="FF77:GA77" si="331">SUM(FF78:FF89)</f>
        <v>0</v>
      </c>
      <c r="FG77" s="107">
        <f t="shared" si="331"/>
        <v>0</v>
      </c>
      <c r="FH77" s="107">
        <f t="shared" si="331"/>
        <v>0</v>
      </c>
      <c r="FI77" s="107">
        <f t="shared" si="331"/>
        <v>0</v>
      </c>
      <c r="FJ77" s="107">
        <f t="shared" si="331"/>
        <v>0</v>
      </c>
      <c r="FK77" s="107">
        <f t="shared" si="331"/>
        <v>0</v>
      </c>
      <c r="FL77" s="107">
        <f t="shared" si="331"/>
        <v>0</v>
      </c>
      <c r="FM77" s="107">
        <f t="shared" si="331"/>
        <v>0</v>
      </c>
      <c r="FN77" s="107">
        <f t="shared" si="331"/>
        <v>0</v>
      </c>
      <c r="FO77" s="107">
        <f t="shared" si="331"/>
        <v>0</v>
      </c>
      <c r="FP77" s="107">
        <f t="shared" si="331"/>
        <v>0</v>
      </c>
      <c r="FQ77" s="107">
        <f t="shared" si="331"/>
        <v>0</v>
      </c>
      <c r="FR77" s="107">
        <f t="shared" si="331"/>
        <v>0</v>
      </c>
      <c r="FS77" s="107">
        <f t="shared" si="331"/>
        <v>0</v>
      </c>
      <c r="FT77" s="107">
        <f t="shared" si="331"/>
        <v>0</v>
      </c>
      <c r="FU77" s="107">
        <f t="shared" si="331"/>
        <v>0</v>
      </c>
      <c r="FV77" s="107">
        <f t="shared" si="331"/>
        <v>0</v>
      </c>
      <c r="FW77" s="107">
        <f t="shared" si="331"/>
        <v>0</v>
      </c>
      <c r="FX77" s="107">
        <f t="shared" si="331"/>
        <v>0</v>
      </c>
      <c r="FY77" s="107">
        <f t="shared" si="331"/>
        <v>0</v>
      </c>
      <c r="FZ77" s="107">
        <f t="shared" si="331"/>
        <v>0</v>
      </c>
      <c r="GA77" s="107">
        <f t="shared" si="331"/>
        <v>0</v>
      </c>
      <c r="GB77" s="99"/>
      <c r="GC77" s="107">
        <f>SUM(GC78:GC89)</f>
        <v>0</v>
      </c>
      <c r="GD77" s="107">
        <f>SUM(GD78:GD89)</f>
        <v>0</v>
      </c>
      <c r="GE77" s="99"/>
      <c r="GF77" s="99"/>
      <c r="GG77" s="99"/>
      <c r="GH77" s="99"/>
      <c r="GI77" s="99"/>
      <c r="GJ77" s="107">
        <f>SUM(GJ78:GJ89)</f>
        <v>0</v>
      </c>
      <c r="GK77" s="107">
        <f>SUM(GK78:GK89)</f>
        <v>0</v>
      </c>
      <c r="GL77" s="107">
        <f>SUM(GL78:GL89)</f>
        <v>0</v>
      </c>
      <c r="GM77" s="107">
        <f>SUM(GM78:GM89)</f>
        <v>0</v>
      </c>
      <c r="GN77" s="99"/>
      <c r="GO77" s="99"/>
      <c r="GP77" s="99"/>
      <c r="GQ77" s="99"/>
      <c r="GR77" s="99"/>
      <c r="GS77" s="107">
        <f t="shared" si="330"/>
        <v>0</v>
      </c>
      <c r="GT77" s="107">
        <f t="shared" ref="GT77:HB77" si="332">SUM(GT78:GT89)</f>
        <v>0</v>
      </c>
      <c r="GU77" s="107">
        <f t="shared" si="332"/>
        <v>0</v>
      </c>
      <c r="GV77" s="107">
        <f t="shared" si="332"/>
        <v>0</v>
      </c>
      <c r="GW77" s="107">
        <f t="shared" si="332"/>
        <v>0</v>
      </c>
      <c r="GX77" s="107">
        <f t="shared" si="332"/>
        <v>0</v>
      </c>
      <c r="GY77" s="107">
        <f t="shared" si="332"/>
        <v>0</v>
      </c>
      <c r="GZ77" s="107">
        <f t="shared" si="332"/>
        <v>0</v>
      </c>
      <c r="HA77" s="107">
        <f t="shared" si="332"/>
        <v>0</v>
      </c>
      <c r="HB77" s="107">
        <f t="shared" si="332"/>
        <v>0</v>
      </c>
      <c r="HC77" s="99"/>
      <c r="HD77" s="99"/>
      <c r="HE77" s="107">
        <f>SUM(HE78:HE89)</f>
        <v>0</v>
      </c>
      <c r="HF77" s="107">
        <f>SUM(HF78:HF89)</f>
        <v>0</v>
      </c>
      <c r="HG77" s="107">
        <f>SUM(HG78:HG89)</f>
        <v>0</v>
      </c>
      <c r="HH77" s="107">
        <f t="shared" si="330"/>
        <v>0</v>
      </c>
      <c r="HI77" s="107">
        <f>SUM(HI78:HI89)</f>
        <v>0</v>
      </c>
      <c r="HJ77" s="107">
        <f>SUM(HJ78:HJ89)</f>
        <v>0</v>
      </c>
      <c r="HK77" s="107">
        <f>SUM(HK78:HK89)</f>
        <v>0</v>
      </c>
      <c r="HL77" s="107">
        <f>SUM(HL78:HL89)</f>
        <v>0</v>
      </c>
      <c r="HM77" s="99"/>
      <c r="HN77" s="99"/>
      <c r="HO77" s="99"/>
      <c r="HP77" s="99"/>
      <c r="HQ77" s="99"/>
      <c r="HR77" s="99"/>
      <c r="HS77" s="99"/>
      <c r="HT77" s="99"/>
      <c r="HU77" s="99"/>
      <c r="HV77" s="99"/>
      <c r="HW77" s="107">
        <f>SUM(HW78:HW89)</f>
        <v>0</v>
      </c>
      <c r="HX77" s="99"/>
      <c r="HY77" s="99"/>
      <c r="HZ77" s="107">
        <f t="shared" ref="HZ77:JC77" si="333">SUM(HZ78:HZ89)</f>
        <v>0</v>
      </c>
      <c r="IA77" s="107">
        <f t="shared" si="333"/>
        <v>0</v>
      </c>
      <c r="IB77" s="107">
        <f t="shared" si="333"/>
        <v>0</v>
      </c>
      <c r="IC77" s="107">
        <f t="shared" si="333"/>
        <v>0</v>
      </c>
      <c r="ID77" s="107">
        <f t="shared" si="333"/>
        <v>0</v>
      </c>
      <c r="IE77" s="107">
        <f t="shared" si="333"/>
        <v>0</v>
      </c>
      <c r="IF77" s="107">
        <f t="shared" si="333"/>
        <v>0</v>
      </c>
      <c r="IG77" s="107">
        <f t="shared" si="333"/>
        <v>0</v>
      </c>
      <c r="IH77" s="107">
        <f t="shared" si="333"/>
        <v>0</v>
      </c>
      <c r="II77" s="107">
        <f t="shared" si="333"/>
        <v>0</v>
      </c>
      <c r="IJ77" s="107">
        <f t="shared" si="333"/>
        <v>0</v>
      </c>
      <c r="IK77" s="107">
        <f t="shared" si="333"/>
        <v>0</v>
      </c>
      <c r="IL77" s="107">
        <f t="shared" si="333"/>
        <v>0</v>
      </c>
      <c r="IM77" s="107">
        <f t="shared" si="333"/>
        <v>0</v>
      </c>
      <c r="IN77" s="107">
        <f t="shared" si="333"/>
        <v>0</v>
      </c>
      <c r="IO77" s="107">
        <f t="shared" si="333"/>
        <v>0</v>
      </c>
      <c r="IP77" s="107">
        <f t="shared" si="333"/>
        <v>0</v>
      </c>
      <c r="IQ77" s="107">
        <f t="shared" si="333"/>
        <v>0</v>
      </c>
      <c r="IR77" s="107">
        <f t="shared" si="333"/>
        <v>0</v>
      </c>
      <c r="IS77" s="107">
        <f t="shared" si="333"/>
        <v>0</v>
      </c>
      <c r="IT77" s="107">
        <f t="shared" si="333"/>
        <v>0</v>
      </c>
      <c r="IU77" s="107">
        <f t="shared" si="333"/>
        <v>0</v>
      </c>
      <c r="IV77" s="107">
        <f t="shared" si="333"/>
        <v>0</v>
      </c>
      <c r="IW77" s="107">
        <f t="shared" si="333"/>
        <v>0</v>
      </c>
      <c r="IX77" s="107">
        <f t="shared" si="333"/>
        <v>0</v>
      </c>
      <c r="IY77" s="107">
        <f t="shared" si="333"/>
        <v>0</v>
      </c>
      <c r="IZ77" s="107">
        <f t="shared" si="333"/>
        <v>0</v>
      </c>
      <c r="JA77" s="107">
        <f t="shared" si="333"/>
        <v>0</v>
      </c>
      <c r="JB77" s="107">
        <f t="shared" si="333"/>
        <v>0</v>
      </c>
      <c r="JC77" s="107">
        <f t="shared" si="333"/>
        <v>0</v>
      </c>
      <c r="JD77" s="99"/>
      <c r="JE77" s="99"/>
      <c r="JF77" s="99"/>
      <c r="JG77" s="99"/>
      <c r="JH77" s="99"/>
      <c r="JI77" s="99"/>
      <c r="JJ77" s="107">
        <f>SUM(JJ78:JJ89)</f>
        <v>0</v>
      </c>
      <c r="JK77" s="99"/>
      <c r="JL77" s="99"/>
      <c r="JM77" s="107">
        <f>SUM(JM78:JM89)</f>
        <v>0</v>
      </c>
      <c r="JN77" s="107">
        <f>SUM(JN78:JN89)</f>
        <v>0</v>
      </c>
      <c r="JO77" s="99"/>
      <c r="JP77" s="99"/>
      <c r="JQ77" s="99"/>
      <c r="JR77" s="99"/>
      <c r="JS77" s="99"/>
      <c r="JT77" s="99"/>
      <c r="JU77" s="99"/>
      <c r="JV77" s="99"/>
      <c r="JW77" s="99"/>
      <c r="JX77" s="99"/>
      <c r="JY77" s="99"/>
      <c r="JZ77" s="107">
        <f>SUM(JZ78:JZ89)</f>
        <v>0</v>
      </c>
      <c r="KA77" s="107">
        <f>SUM(KA78:KA89)</f>
        <v>0</v>
      </c>
      <c r="KB77" s="99"/>
      <c r="KC77" s="99"/>
      <c r="KD77" s="99"/>
      <c r="KE77" s="99"/>
      <c r="KF77" s="99"/>
      <c r="KG77" s="107">
        <f t="shared" ref="KG77:OI77" si="334">SUM(KG78:KG89)</f>
        <v>0</v>
      </c>
      <c r="KH77" s="107">
        <f t="shared" si="334"/>
        <v>0</v>
      </c>
      <c r="KI77" s="107">
        <f t="shared" si="334"/>
        <v>0</v>
      </c>
      <c r="KJ77" s="107">
        <f t="shared" si="334"/>
        <v>0</v>
      </c>
      <c r="KK77" s="107">
        <f t="shared" si="334"/>
        <v>0</v>
      </c>
      <c r="KL77" s="107">
        <f t="shared" si="334"/>
        <v>0</v>
      </c>
      <c r="KM77" s="107">
        <f t="shared" si="334"/>
        <v>0</v>
      </c>
      <c r="KN77" s="107">
        <f t="shared" si="334"/>
        <v>0</v>
      </c>
      <c r="KO77" s="107">
        <f t="shared" si="334"/>
        <v>0</v>
      </c>
      <c r="KP77" s="107">
        <f t="shared" si="334"/>
        <v>0</v>
      </c>
      <c r="KQ77" s="107">
        <f t="shared" si="334"/>
        <v>0</v>
      </c>
      <c r="KR77" s="107">
        <f t="shared" si="334"/>
        <v>0</v>
      </c>
      <c r="KS77" s="107">
        <f t="shared" si="334"/>
        <v>0</v>
      </c>
      <c r="KT77" s="107">
        <f t="shared" si="334"/>
        <v>0</v>
      </c>
      <c r="KU77" s="107">
        <f t="shared" si="334"/>
        <v>0</v>
      </c>
      <c r="KV77" s="107">
        <f t="shared" si="334"/>
        <v>0</v>
      </c>
      <c r="KW77" s="107">
        <f t="shared" si="334"/>
        <v>0</v>
      </c>
      <c r="KX77" s="107">
        <f t="shared" si="334"/>
        <v>0</v>
      </c>
      <c r="KY77" s="107">
        <f t="shared" si="334"/>
        <v>0</v>
      </c>
      <c r="KZ77" s="107">
        <f t="shared" si="334"/>
        <v>0</v>
      </c>
      <c r="LA77" s="107">
        <f t="shared" si="334"/>
        <v>0</v>
      </c>
      <c r="LB77" s="107">
        <f t="shared" si="334"/>
        <v>0</v>
      </c>
      <c r="LC77" s="99"/>
      <c r="LD77" s="99"/>
      <c r="LE77" s="99"/>
      <c r="LF77" s="99"/>
      <c r="LG77" s="99"/>
      <c r="LH77" s="99"/>
      <c r="LI77" s="99"/>
      <c r="LJ77" s="99"/>
      <c r="LK77" s="99"/>
      <c r="LL77" s="99"/>
      <c r="LM77" s="99"/>
      <c r="LN77" s="99"/>
      <c r="LO77" s="99"/>
      <c r="LP77" s="99"/>
      <c r="LQ77" s="99"/>
      <c r="LR77" s="99"/>
      <c r="LS77" s="99"/>
      <c r="LT77" s="107">
        <f>SUM(LT78:LT89)</f>
        <v>0</v>
      </c>
      <c r="LU77" s="107">
        <f>SUM(LU78:LU89)</f>
        <v>0</v>
      </c>
      <c r="LV77" s="99"/>
      <c r="LW77" s="99"/>
      <c r="LX77" s="99"/>
      <c r="LY77" s="107">
        <f t="shared" ref="LY77:NB77" si="335">SUM(LY78:LY89)</f>
        <v>0</v>
      </c>
      <c r="LZ77" s="107">
        <f t="shared" si="335"/>
        <v>0</v>
      </c>
      <c r="MA77" s="107">
        <f t="shared" si="335"/>
        <v>0</v>
      </c>
      <c r="MB77" s="107">
        <f t="shared" si="335"/>
        <v>0</v>
      </c>
      <c r="MC77" s="107">
        <f t="shared" si="335"/>
        <v>0</v>
      </c>
      <c r="MD77" s="107">
        <f t="shared" si="335"/>
        <v>0</v>
      </c>
      <c r="ME77" s="107">
        <f t="shared" si="335"/>
        <v>0</v>
      </c>
      <c r="MF77" s="107">
        <f t="shared" si="335"/>
        <v>0</v>
      </c>
      <c r="MG77" s="107">
        <f t="shared" si="335"/>
        <v>0</v>
      </c>
      <c r="MH77" s="107">
        <f t="shared" si="335"/>
        <v>0</v>
      </c>
      <c r="MI77" s="107">
        <f t="shared" si="335"/>
        <v>0</v>
      </c>
      <c r="MJ77" s="107">
        <f t="shared" si="335"/>
        <v>0</v>
      </c>
      <c r="MK77" s="107">
        <f t="shared" si="335"/>
        <v>0</v>
      </c>
      <c r="ML77" s="107">
        <f t="shared" si="335"/>
        <v>0</v>
      </c>
      <c r="MM77" s="107">
        <f t="shared" si="335"/>
        <v>0</v>
      </c>
      <c r="MN77" s="107">
        <f t="shared" si="335"/>
        <v>0</v>
      </c>
      <c r="MO77" s="107">
        <f t="shared" si="335"/>
        <v>0</v>
      </c>
      <c r="MP77" s="107">
        <f t="shared" si="335"/>
        <v>0</v>
      </c>
      <c r="MQ77" s="107">
        <f t="shared" si="335"/>
        <v>0</v>
      </c>
      <c r="MR77" s="107">
        <f t="shared" si="335"/>
        <v>0</v>
      </c>
      <c r="MS77" s="107">
        <f t="shared" si="335"/>
        <v>0</v>
      </c>
      <c r="MT77" s="107">
        <f t="shared" si="335"/>
        <v>0</v>
      </c>
      <c r="MU77" s="107">
        <f t="shared" si="335"/>
        <v>0</v>
      </c>
      <c r="MV77" s="107">
        <f t="shared" si="335"/>
        <v>0</v>
      </c>
      <c r="MW77" s="107">
        <f t="shared" si="335"/>
        <v>0</v>
      </c>
      <c r="MX77" s="107">
        <f t="shared" si="335"/>
        <v>0</v>
      </c>
      <c r="MY77" s="107">
        <f t="shared" si="335"/>
        <v>0</v>
      </c>
      <c r="MZ77" s="107">
        <f t="shared" si="335"/>
        <v>0</v>
      </c>
      <c r="NA77" s="107">
        <f t="shared" si="335"/>
        <v>0</v>
      </c>
      <c r="NB77" s="107">
        <f t="shared" si="335"/>
        <v>0</v>
      </c>
      <c r="NC77" s="99"/>
      <c r="ND77" s="99"/>
      <c r="NE77" s="99"/>
      <c r="NF77" s="99"/>
      <c r="NG77" s="107">
        <f t="shared" ref="NG77:NQ77" si="336">SUM(NG78:NG89)</f>
        <v>0</v>
      </c>
      <c r="NH77" s="107">
        <f t="shared" si="336"/>
        <v>0</v>
      </c>
      <c r="NI77" s="107">
        <f t="shared" si="336"/>
        <v>0</v>
      </c>
      <c r="NJ77" s="107">
        <f t="shared" si="336"/>
        <v>0</v>
      </c>
      <c r="NK77" s="107">
        <f t="shared" si="336"/>
        <v>0</v>
      </c>
      <c r="NL77" s="107">
        <f t="shared" si="336"/>
        <v>0</v>
      </c>
      <c r="NM77" s="107">
        <f t="shared" si="336"/>
        <v>0</v>
      </c>
      <c r="NN77" s="107">
        <f t="shared" si="336"/>
        <v>0</v>
      </c>
      <c r="NO77" s="107">
        <f t="shared" si="336"/>
        <v>0</v>
      </c>
      <c r="NP77" s="107">
        <f t="shared" si="336"/>
        <v>0</v>
      </c>
      <c r="NQ77" s="107">
        <f t="shared" si="336"/>
        <v>0</v>
      </c>
      <c r="NR77" s="99"/>
      <c r="NS77" s="99"/>
      <c r="NT77" s="99"/>
      <c r="NU77" s="99"/>
      <c r="NV77" s="107">
        <f t="shared" ref="NV77:OA77" si="337">SUM(NV78:NV89)</f>
        <v>0</v>
      </c>
      <c r="NW77" s="107">
        <f t="shared" si="337"/>
        <v>0</v>
      </c>
      <c r="NX77" s="107">
        <f t="shared" si="337"/>
        <v>0</v>
      </c>
      <c r="NY77" s="107">
        <f t="shared" si="337"/>
        <v>0</v>
      </c>
      <c r="NZ77" s="107">
        <f t="shared" si="337"/>
        <v>0</v>
      </c>
      <c r="OA77" s="107">
        <f t="shared" si="337"/>
        <v>0</v>
      </c>
      <c r="OB77" s="99"/>
      <c r="OC77" s="99"/>
      <c r="OD77" s="107">
        <f>SUM(OD78:OD89)</f>
        <v>0</v>
      </c>
      <c r="OE77" s="107">
        <f>SUM(OE78:OE89)</f>
        <v>0</v>
      </c>
      <c r="OF77" s="107">
        <f>SUM(OF78:OF89)</f>
        <v>0</v>
      </c>
      <c r="OG77" s="107">
        <f>SUM(OG78:OG89)</f>
        <v>0</v>
      </c>
      <c r="OH77" s="107">
        <f t="shared" si="334"/>
        <v>0</v>
      </c>
      <c r="OI77" s="107">
        <f t="shared" si="334"/>
        <v>0</v>
      </c>
      <c r="OJ77" s="107">
        <f>SUM(OJ78:OJ89)</f>
        <v>0</v>
      </c>
      <c r="OK77" s="107">
        <f>SUM(OK78:OK89)</f>
        <v>0</v>
      </c>
      <c r="OL77" s="107"/>
      <c r="OM77" s="107">
        <f>SUM(OM78:OM89)</f>
        <v>0</v>
      </c>
      <c r="ON77" s="107">
        <f>SUM(ON78:ON89)</f>
        <v>0</v>
      </c>
      <c r="OO77" s="107">
        <f>SUM(OO78:OO89)</f>
        <v>0</v>
      </c>
      <c r="OP77" s="107">
        <f>SUM(OP78:OP89)</f>
        <v>0</v>
      </c>
      <c r="OQ77" s="99"/>
      <c r="OR77" s="107">
        <f>SUM(OR78:OR89)</f>
        <v>0</v>
      </c>
      <c r="OS77" s="107">
        <f>SUM(OS78:OS89)</f>
        <v>0</v>
      </c>
      <c r="OT77" s="107">
        <f>SUM(OT78:OT89)</f>
        <v>0</v>
      </c>
      <c r="OU77" s="107">
        <f t="shared" si="330"/>
        <v>0</v>
      </c>
      <c r="OV77" s="107">
        <f t="shared" si="330"/>
        <v>0</v>
      </c>
      <c r="OW77" s="107">
        <f t="shared" ref="OW77:PH77" si="338">SUM(OW78:OW89)</f>
        <v>0</v>
      </c>
      <c r="OX77" s="107">
        <f t="shared" si="338"/>
        <v>0</v>
      </c>
      <c r="OY77" s="107">
        <f t="shared" si="338"/>
        <v>0</v>
      </c>
      <c r="OZ77" s="107">
        <f t="shared" si="338"/>
        <v>0</v>
      </c>
      <c r="PA77" s="107">
        <f t="shared" si="338"/>
        <v>0</v>
      </c>
      <c r="PB77" s="107">
        <f>SUM(PB78:PB89)</f>
        <v>0</v>
      </c>
      <c r="PC77" s="107">
        <f t="shared" si="338"/>
        <v>0</v>
      </c>
      <c r="PD77" s="107">
        <f>SUM(PD78:PD89)</f>
        <v>0</v>
      </c>
      <c r="PE77" s="107">
        <f t="shared" si="338"/>
        <v>0</v>
      </c>
      <c r="PF77" s="107">
        <f t="shared" si="338"/>
        <v>0</v>
      </c>
      <c r="PG77" s="107">
        <f t="shared" si="338"/>
        <v>0</v>
      </c>
      <c r="PH77" s="107">
        <f t="shared" si="338"/>
        <v>0</v>
      </c>
      <c r="PI77" s="107">
        <f>SUM(PI78:PI89)</f>
        <v>0</v>
      </c>
      <c r="PJ77" s="107">
        <f t="shared" ref="PJ77:QC77" si="339">SUM(PJ78:PJ89)</f>
        <v>0</v>
      </c>
      <c r="PK77" s="107">
        <f t="shared" si="339"/>
        <v>0</v>
      </c>
      <c r="PL77" s="107">
        <f t="shared" si="339"/>
        <v>0</v>
      </c>
      <c r="PM77" s="107">
        <f t="shared" si="339"/>
        <v>0</v>
      </c>
      <c r="PN77" s="107">
        <f t="shared" ref="PN77:PS77" si="340">SUM(PN78:PN89)</f>
        <v>0</v>
      </c>
      <c r="PO77" s="107">
        <f t="shared" si="340"/>
        <v>0</v>
      </c>
      <c r="PP77" s="107">
        <f t="shared" si="340"/>
        <v>0</v>
      </c>
      <c r="PQ77" s="107">
        <f t="shared" si="340"/>
        <v>0</v>
      </c>
      <c r="PR77" s="107">
        <f t="shared" si="340"/>
        <v>0</v>
      </c>
      <c r="PS77" s="107">
        <f t="shared" si="340"/>
        <v>0</v>
      </c>
      <c r="PT77" s="107">
        <f t="shared" si="339"/>
        <v>0</v>
      </c>
      <c r="PU77" s="107">
        <f>SUM(PU78:PU89)</f>
        <v>0</v>
      </c>
      <c r="PV77" s="107">
        <f t="shared" si="339"/>
        <v>0</v>
      </c>
      <c r="PW77" s="107">
        <f>SUM(PW78:PW89)</f>
        <v>0</v>
      </c>
      <c r="PX77" s="107">
        <f>SUM(PX78:PX89)</f>
        <v>0</v>
      </c>
      <c r="PY77" s="107">
        <f>SUM(PY78:PY89)</f>
        <v>0</v>
      </c>
      <c r="PZ77" s="107">
        <f>SUM(PZ78:PZ89)</f>
        <v>0</v>
      </c>
      <c r="QA77" s="107">
        <f>SUM(QA78:QA89)</f>
        <v>0</v>
      </c>
      <c r="QB77" s="107">
        <f t="shared" si="339"/>
        <v>0</v>
      </c>
      <c r="QC77" s="107">
        <f t="shared" si="339"/>
        <v>0</v>
      </c>
      <c r="QD77" s="107">
        <f>SUM(QD78:QD89)</f>
        <v>0</v>
      </c>
      <c r="QE77" s="107">
        <f t="shared" ref="QE77:QJ77" si="341">SUM(QE78:QE89)</f>
        <v>0</v>
      </c>
      <c r="QF77" s="107">
        <f t="shared" si="341"/>
        <v>0</v>
      </c>
      <c r="QG77" s="107">
        <f t="shared" si="341"/>
        <v>0</v>
      </c>
      <c r="QH77" s="107">
        <f t="shared" si="341"/>
        <v>0</v>
      </c>
      <c r="QI77" s="107">
        <f t="shared" si="341"/>
        <v>0</v>
      </c>
      <c r="QJ77" s="107">
        <f t="shared" si="341"/>
        <v>0</v>
      </c>
      <c r="QK77" s="107">
        <f>SUM(QK78:QK89)</f>
        <v>0</v>
      </c>
      <c r="QL77" s="107">
        <f t="shared" ref="QL77:QM77" si="342">SUM(QL78:QL89)</f>
        <v>0</v>
      </c>
      <c r="QM77" s="107">
        <f t="shared" si="342"/>
        <v>0</v>
      </c>
      <c r="QN77" s="99"/>
      <c r="QO77" s="99"/>
      <c r="QP77" s="107"/>
      <c r="QQ77" s="99"/>
      <c r="QR77" s="99"/>
      <c r="QS77" s="107">
        <f t="shared" ref="QS77:RM77" si="343">SUM(QS78:QS89)</f>
        <v>0</v>
      </c>
      <c r="QT77" s="107">
        <f>SUM(QT78:QT89)</f>
        <v>0</v>
      </c>
      <c r="QU77" s="107">
        <f>SUM(QU78:QU89)</f>
        <v>0</v>
      </c>
      <c r="QV77" s="107">
        <f t="shared" si="343"/>
        <v>0</v>
      </c>
      <c r="QW77" s="107">
        <f t="shared" si="343"/>
        <v>0</v>
      </c>
      <c r="QX77" s="107">
        <f t="shared" si="343"/>
        <v>0</v>
      </c>
      <c r="QY77" s="107">
        <f t="shared" si="343"/>
        <v>0</v>
      </c>
      <c r="QZ77" s="107">
        <f t="shared" si="343"/>
        <v>0</v>
      </c>
      <c r="RA77" s="107">
        <f t="shared" si="343"/>
        <v>0</v>
      </c>
      <c r="RB77" s="107">
        <f t="shared" si="343"/>
        <v>0</v>
      </c>
      <c r="RC77" s="107">
        <f t="shared" si="343"/>
        <v>0</v>
      </c>
      <c r="RD77" s="107">
        <f t="shared" si="343"/>
        <v>0</v>
      </c>
      <c r="RE77" s="107">
        <f>SUM(RE78:RE89)</f>
        <v>0</v>
      </c>
      <c r="RF77" s="107">
        <f t="shared" si="343"/>
        <v>0</v>
      </c>
      <c r="RG77" s="99"/>
      <c r="RH77" s="107">
        <f t="shared" si="343"/>
        <v>0</v>
      </c>
      <c r="RI77" s="107">
        <f t="shared" si="343"/>
        <v>0</v>
      </c>
      <c r="RJ77" s="107">
        <f>SUM(RJ78:RJ89)</f>
        <v>0</v>
      </c>
      <c r="RK77" s="107">
        <f t="shared" si="343"/>
        <v>0</v>
      </c>
      <c r="RL77" s="107">
        <f t="shared" si="343"/>
        <v>0</v>
      </c>
      <c r="RM77" s="107">
        <f t="shared" si="343"/>
        <v>0</v>
      </c>
      <c r="RN77" s="107">
        <f>SUM(RN78:RN89)</f>
        <v>0</v>
      </c>
    </row>
    <row r="78" spans="1:482" s="60" customFormat="1" ht="11.25" x14ac:dyDescent="0.2">
      <c r="A78" s="125" t="s">
        <v>818</v>
      </c>
      <c r="B78" s="183"/>
      <c r="C78" s="161" t="s">
        <v>886</v>
      </c>
      <c r="D78" s="115">
        <f t="shared" si="325"/>
        <v>0</v>
      </c>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t="s">
        <v>912</v>
      </c>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102"/>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H78" s="99"/>
      <c r="HI78" s="99"/>
      <c r="HJ78" s="99"/>
      <c r="HK78" s="99"/>
      <c r="HL78" s="99"/>
      <c r="HM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c r="IM78" s="99"/>
      <c r="IN78" s="99"/>
      <c r="IO78" s="99"/>
      <c r="IP78" s="99"/>
      <c r="IQ78" s="99"/>
      <c r="IR78" s="99"/>
      <c r="IS78" s="99"/>
      <c r="IT78" s="99"/>
      <c r="IU78" s="99"/>
      <c r="IV78" s="99"/>
      <c r="IW78" s="99"/>
      <c r="IX78" s="99"/>
      <c r="IY78" s="99"/>
      <c r="IZ78" s="99"/>
      <c r="JA78" s="99"/>
      <c r="JB78" s="99"/>
      <c r="JC78" s="99"/>
      <c r="JD78" s="99"/>
      <c r="JE78" s="99"/>
      <c r="JF78" s="99"/>
      <c r="JG78" s="99"/>
      <c r="JH78" s="99"/>
      <c r="JI78" s="99"/>
      <c r="JJ78" s="99"/>
      <c r="JK78" s="99"/>
      <c r="JL78" s="99"/>
      <c r="JM78" s="99"/>
      <c r="JN78" s="99"/>
      <c r="JO78" s="99"/>
      <c r="JP78" s="99"/>
      <c r="JQ78" s="99"/>
      <c r="JR78" s="99"/>
      <c r="JS78" s="99"/>
      <c r="JT78" s="99"/>
      <c r="JU78" s="99"/>
      <c r="JV78" s="99"/>
      <c r="JW78" s="99"/>
      <c r="JX78" s="99"/>
      <c r="JY78" s="99"/>
      <c r="JZ78" s="99"/>
      <c r="KA78" s="99"/>
      <c r="KB78" s="99"/>
      <c r="KC78" s="99"/>
      <c r="KD78" s="99"/>
      <c r="KE78" s="99"/>
      <c r="KF78" s="99"/>
      <c r="KG78" s="99"/>
      <c r="KH78" s="99"/>
      <c r="KI78" s="99"/>
      <c r="KJ78" s="99"/>
      <c r="KK78" s="99"/>
      <c r="KL78" s="99"/>
      <c r="KM78" s="99"/>
      <c r="KN78" s="99"/>
      <c r="KO78" s="99"/>
      <c r="KP78" s="99"/>
      <c r="KQ78" s="99"/>
      <c r="KR78" s="99"/>
      <c r="KS78" s="99"/>
      <c r="KT78" s="99"/>
      <c r="KU78" s="99"/>
      <c r="KV78" s="99"/>
      <c r="KW78" s="99"/>
      <c r="KX78" s="99"/>
      <c r="KY78" s="99"/>
      <c r="KZ78" s="99"/>
      <c r="LA78" s="99"/>
      <c r="LB78" s="99"/>
      <c r="LC78" s="99"/>
      <c r="LD78" s="99"/>
      <c r="LE78" s="99"/>
      <c r="LF78" s="99"/>
      <c r="LG78" s="99"/>
      <c r="LH78" s="99"/>
      <c r="LI78" s="99"/>
      <c r="LJ78" s="99"/>
      <c r="LK78" s="99"/>
      <c r="LL78" s="99"/>
      <c r="LM78" s="99"/>
      <c r="LN78" s="99"/>
      <c r="LO78" s="99"/>
      <c r="LP78" s="99"/>
      <c r="LQ78" s="99"/>
      <c r="LR78" s="99"/>
      <c r="LS78" s="99"/>
      <c r="LT78" s="99"/>
      <c r="LU78" s="99"/>
      <c r="LV78" s="99"/>
      <c r="LW78" s="99"/>
      <c r="LX78" s="99"/>
      <c r="LY78" s="99"/>
      <c r="LZ78" s="99"/>
      <c r="MA78" s="99"/>
      <c r="MB78" s="99"/>
      <c r="MC78" s="99"/>
      <c r="MD78" s="99"/>
      <c r="ME78" s="99"/>
      <c r="MF78" s="99"/>
      <c r="MG78" s="99"/>
      <c r="MH78" s="99"/>
      <c r="MI78" s="99"/>
      <c r="MJ78" s="99"/>
      <c r="MK78" s="99"/>
      <c r="ML78" s="99"/>
      <c r="MM78" s="99"/>
      <c r="MN78" s="99"/>
      <c r="MO78" s="99"/>
      <c r="MP78" s="99"/>
      <c r="MQ78" s="99"/>
      <c r="MR78" s="99"/>
      <c r="MS78" s="99"/>
      <c r="MT78" s="99"/>
      <c r="MU78" s="99"/>
      <c r="MV78" s="99"/>
      <c r="MW78" s="99"/>
      <c r="MX78" s="99"/>
      <c r="MY78" s="99"/>
      <c r="MZ78" s="99"/>
      <c r="NA78" s="99"/>
      <c r="NB78" s="99"/>
      <c r="NC78" s="99"/>
      <c r="ND78" s="99"/>
      <c r="NE78" s="99"/>
      <c r="NF78" s="99"/>
      <c r="NG78" s="99"/>
      <c r="NH78" s="99"/>
      <c r="NI78" s="99"/>
      <c r="NJ78" s="99"/>
      <c r="NK78" s="99"/>
      <c r="NL78" s="99"/>
      <c r="NM78" s="99"/>
      <c r="NN78" s="99"/>
      <c r="NO78" s="99"/>
      <c r="NP78" s="99"/>
      <c r="NQ78" s="99"/>
      <c r="NR78" s="99"/>
      <c r="NS78" s="99"/>
      <c r="NT78" s="99"/>
      <c r="NU78" s="99"/>
      <c r="NV78" s="99"/>
      <c r="NW78" s="99"/>
      <c r="NX78" s="99"/>
      <c r="NY78" s="99"/>
      <c r="NZ78" s="99"/>
      <c r="OA78" s="99"/>
      <c r="OB78" s="99"/>
      <c r="OC78" s="99"/>
      <c r="OD78" s="99"/>
      <c r="OE78" s="99"/>
      <c r="OF78" s="99"/>
      <c r="OG78" s="99"/>
      <c r="OH78" s="99"/>
      <c r="OI78" s="99"/>
      <c r="OJ78" s="99"/>
      <c r="OK78" s="99"/>
      <c r="OL78" s="99"/>
      <c r="OM78" s="99"/>
      <c r="ON78" s="99"/>
      <c r="OO78" s="99"/>
      <c r="OP78" s="99"/>
      <c r="OQ78" s="99"/>
      <c r="OR78" s="99"/>
      <c r="OS78" s="99"/>
      <c r="OT78" s="99"/>
      <c r="OU78" s="99"/>
      <c r="OV78" s="99"/>
      <c r="OW78" s="99"/>
      <c r="OX78" s="99"/>
      <c r="OY78" s="99"/>
      <c r="OZ78" s="99"/>
      <c r="PA78" s="99"/>
      <c r="PB78" s="99"/>
      <c r="PC78" s="99"/>
      <c r="PD78" s="99"/>
      <c r="PE78" s="99"/>
      <c r="PF78" s="99"/>
      <c r="PG78" s="99"/>
      <c r="PH78" s="99"/>
      <c r="PI78" s="99"/>
      <c r="PJ78" s="99"/>
      <c r="PK78" s="99"/>
      <c r="PL78" s="99"/>
      <c r="PM78" s="99"/>
      <c r="PN78" s="99"/>
      <c r="PO78" s="99"/>
      <c r="PP78" s="99"/>
      <c r="PQ78" s="99"/>
      <c r="PR78" s="99"/>
      <c r="PS78" s="99"/>
      <c r="PT78" s="99"/>
      <c r="PU78" s="99"/>
      <c r="PV78" s="99"/>
      <c r="PW78" s="99"/>
      <c r="PX78" s="99"/>
      <c r="PY78" s="99"/>
      <c r="PZ78" s="99"/>
      <c r="QA78" s="99"/>
      <c r="QB78" s="99"/>
      <c r="QC78" s="99"/>
      <c r="QD78" s="99"/>
      <c r="QE78" s="99"/>
      <c r="QF78" s="99"/>
      <c r="QG78" s="99"/>
      <c r="QH78" s="99"/>
      <c r="QI78" s="99"/>
      <c r="QJ78" s="99"/>
      <c r="QK78" s="99"/>
      <c r="QL78" s="99"/>
      <c r="QM78" s="99"/>
      <c r="QN78" s="99"/>
      <c r="QO78" s="99"/>
      <c r="QP78" s="99"/>
      <c r="QQ78" s="99"/>
      <c r="QR78" s="99"/>
      <c r="QS78" s="99"/>
      <c r="QT78" s="99"/>
      <c r="QU78" s="99"/>
      <c r="QV78" s="99"/>
      <c r="QW78" s="99"/>
      <c r="QX78" s="99"/>
      <c r="QY78" s="99"/>
      <c r="QZ78" s="99"/>
      <c r="RA78" s="99"/>
      <c r="RB78" s="99"/>
      <c r="RC78" s="99"/>
      <c r="RD78" s="99"/>
      <c r="RE78" s="99"/>
      <c r="RF78" s="99"/>
      <c r="RG78" s="99"/>
      <c r="RH78" s="99"/>
      <c r="RI78" s="99"/>
      <c r="RJ78" s="99"/>
      <c r="RK78" s="99"/>
      <c r="RL78" s="99"/>
      <c r="RM78" s="99"/>
      <c r="RN78" s="99"/>
    </row>
    <row r="79" spans="1:482" s="60" customFormat="1" ht="11.25" x14ac:dyDescent="0.2">
      <c r="A79" s="179" t="s">
        <v>819</v>
      </c>
      <c r="B79" s="179"/>
      <c r="C79" s="165"/>
      <c r="D79" s="115"/>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t="s">
        <v>912</v>
      </c>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105"/>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c r="HD79" s="97"/>
      <c r="HE79" s="97"/>
      <c r="HF79" s="97"/>
      <c r="HG79" s="97"/>
      <c r="HH79" s="97"/>
      <c r="HI79" s="97"/>
      <c r="HJ79" s="97"/>
      <c r="HK79" s="97"/>
      <c r="HL79" s="97"/>
      <c r="HM79" s="97"/>
      <c r="HN79" s="97"/>
      <c r="HO79" s="97"/>
      <c r="HP79" s="97"/>
      <c r="HQ79" s="97"/>
      <c r="HR79" s="97"/>
      <c r="HS79" s="97"/>
      <c r="HT79" s="97"/>
      <c r="HU79" s="97"/>
      <c r="HV79" s="97"/>
      <c r="HW79" s="97"/>
      <c r="HX79" s="97"/>
      <c r="HY79" s="97"/>
      <c r="HZ79" s="97"/>
      <c r="IA79" s="97"/>
      <c r="IB79" s="97"/>
      <c r="IC79" s="97"/>
      <c r="ID79" s="97"/>
      <c r="IE79" s="97"/>
      <c r="IF79" s="97"/>
      <c r="IG79" s="97"/>
      <c r="IH79" s="97"/>
      <c r="II79" s="97"/>
      <c r="IJ79" s="97"/>
      <c r="IK79" s="97"/>
      <c r="IL79" s="97"/>
      <c r="IM79" s="97"/>
      <c r="IN79" s="97"/>
      <c r="IO79" s="97"/>
      <c r="IP79" s="97"/>
      <c r="IQ79" s="97"/>
      <c r="IR79" s="97"/>
      <c r="IS79" s="97"/>
      <c r="IT79" s="97"/>
      <c r="IU79" s="97"/>
      <c r="IV79" s="97"/>
      <c r="IW79" s="97"/>
      <c r="IX79" s="97"/>
      <c r="IY79" s="97"/>
      <c r="IZ79" s="97"/>
      <c r="JA79" s="97"/>
      <c r="JB79" s="97"/>
      <c r="JC79" s="97"/>
      <c r="JD79" s="97"/>
      <c r="JE79" s="97"/>
      <c r="JF79" s="97"/>
      <c r="JG79" s="97"/>
      <c r="JH79" s="97"/>
      <c r="JI79" s="97"/>
      <c r="JJ79" s="97"/>
      <c r="JK79" s="97"/>
      <c r="JL79" s="97"/>
      <c r="JM79" s="97"/>
      <c r="JN79" s="97"/>
      <c r="JO79" s="97"/>
      <c r="JP79" s="97"/>
      <c r="JQ79" s="97"/>
      <c r="JR79" s="97"/>
      <c r="JS79" s="97"/>
      <c r="JT79" s="97"/>
      <c r="JU79" s="97"/>
      <c r="JV79" s="97"/>
      <c r="JW79" s="97"/>
      <c r="JX79" s="97"/>
      <c r="JY79" s="97"/>
      <c r="JZ79" s="97"/>
      <c r="KA79" s="97"/>
      <c r="KB79" s="97"/>
      <c r="KC79" s="97"/>
      <c r="KD79" s="97"/>
      <c r="KE79" s="97"/>
      <c r="KF79" s="97"/>
      <c r="KG79" s="97"/>
      <c r="KH79" s="97"/>
      <c r="KI79" s="97"/>
      <c r="KJ79" s="97"/>
      <c r="KK79" s="97"/>
      <c r="KL79" s="97"/>
      <c r="KM79" s="97"/>
      <c r="KN79" s="97"/>
      <c r="KO79" s="97"/>
      <c r="KP79" s="97"/>
      <c r="KQ79" s="97"/>
      <c r="KR79" s="97"/>
      <c r="KS79" s="97"/>
      <c r="KT79" s="97"/>
      <c r="KU79" s="97"/>
      <c r="KV79" s="97"/>
      <c r="KW79" s="97"/>
      <c r="KX79" s="97"/>
      <c r="KY79" s="97"/>
      <c r="KZ79" s="97"/>
      <c r="LA79" s="97"/>
      <c r="LB79" s="97"/>
      <c r="LC79" s="97"/>
      <c r="LD79" s="97"/>
      <c r="LE79" s="97"/>
      <c r="LF79" s="97"/>
      <c r="LG79" s="97"/>
      <c r="LH79" s="97"/>
      <c r="LI79" s="97"/>
      <c r="LJ79" s="97"/>
      <c r="LK79" s="97"/>
      <c r="LL79" s="97"/>
      <c r="LM79" s="97"/>
      <c r="LN79" s="97"/>
      <c r="LO79" s="97"/>
      <c r="LP79" s="97"/>
      <c r="LQ79" s="97"/>
      <c r="LR79" s="97"/>
      <c r="LS79" s="97"/>
      <c r="LT79" s="97"/>
      <c r="LU79" s="97"/>
      <c r="LV79" s="97"/>
      <c r="LW79" s="97"/>
      <c r="LX79" s="97"/>
      <c r="LY79" s="97"/>
      <c r="LZ79" s="97"/>
      <c r="MA79" s="97"/>
      <c r="MB79" s="97"/>
      <c r="MC79" s="97"/>
      <c r="MD79" s="97"/>
      <c r="ME79" s="97"/>
      <c r="MF79" s="97"/>
      <c r="MG79" s="97"/>
      <c r="MH79" s="97"/>
      <c r="MI79" s="97"/>
      <c r="MJ79" s="97"/>
      <c r="MK79" s="97"/>
      <c r="ML79" s="97"/>
      <c r="MM79" s="97"/>
      <c r="MN79" s="97"/>
      <c r="MO79" s="97"/>
      <c r="MP79" s="97"/>
      <c r="MQ79" s="97"/>
      <c r="MR79" s="97"/>
      <c r="MS79" s="97"/>
      <c r="MT79" s="97"/>
      <c r="MU79" s="97"/>
      <c r="MV79" s="97"/>
      <c r="MW79" s="97"/>
      <c r="MX79" s="97"/>
      <c r="MY79" s="97"/>
      <c r="MZ79" s="97"/>
      <c r="NA79" s="97"/>
      <c r="NB79" s="97"/>
      <c r="NC79" s="97"/>
      <c r="ND79" s="97"/>
      <c r="NE79" s="97"/>
      <c r="NF79" s="97"/>
      <c r="NG79" s="97"/>
      <c r="NH79" s="97"/>
      <c r="NI79" s="97"/>
      <c r="NJ79" s="97"/>
      <c r="NK79" s="97"/>
      <c r="NL79" s="97"/>
      <c r="NM79" s="97"/>
      <c r="NN79" s="97"/>
      <c r="NO79" s="97"/>
      <c r="NP79" s="97"/>
      <c r="NQ79" s="97"/>
      <c r="NR79" s="97"/>
      <c r="NS79" s="97"/>
      <c r="NT79" s="97"/>
      <c r="NU79" s="97"/>
      <c r="NV79" s="97"/>
      <c r="NW79" s="97"/>
      <c r="NX79" s="97"/>
      <c r="NY79" s="97"/>
      <c r="NZ79" s="97"/>
      <c r="OA79" s="97"/>
      <c r="OB79" s="97"/>
      <c r="OC79" s="97"/>
      <c r="OD79" s="97"/>
      <c r="OE79" s="97"/>
      <c r="OF79" s="97"/>
      <c r="OG79" s="97"/>
      <c r="OH79" s="97"/>
      <c r="OI79" s="97"/>
      <c r="OJ79" s="97"/>
      <c r="OK79" s="97"/>
      <c r="OL79" s="97"/>
      <c r="OM79" s="97"/>
      <c r="ON79" s="97"/>
      <c r="OO79" s="97"/>
      <c r="OP79" s="97"/>
      <c r="OQ79" s="97"/>
      <c r="OR79" s="97"/>
      <c r="OS79" s="97"/>
      <c r="OT79" s="97"/>
      <c r="OU79" s="97"/>
      <c r="OV79" s="97"/>
      <c r="OW79" s="97"/>
      <c r="OX79" s="97"/>
      <c r="OY79" s="97"/>
      <c r="OZ79" s="97"/>
      <c r="PA79" s="97"/>
      <c r="PB79" s="97"/>
      <c r="PC79" s="97"/>
      <c r="PD79" s="97"/>
      <c r="PE79" s="97"/>
      <c r="PF79" s="97"/>
      <c r="PG79" s="97"/>
      <c r="PH79" s="97"/>
      <c r="PI79" s="97"/>
      <c r="PJ79" s="97"/>
      <c r="PK79" s="97"/>
      <c r="PL79" s="97"/>
      <c r="PM79" s="97"/>
      <c r="PN79" s="97"/>
      <c r="PO79" s="97"/>
      <c r="PP79" s="97"/>
      <c r="PQ79" s="97"/>
      <c r="PR79" s="97"/>
      <c r="PS79" s="97"/>
      <c r="PT79" s="97"/>
      <c r="PU79" s="97"/>
      <c r="PV79" s="97"/>
      <c r="PW79" s="97"/>
      <c r="PX79" s="97"/>
      <c r="PY79" s="97"/>
      <c r="PZ79" s="97"/>
      <c r="QA79" s="97"/>
      <c r="QB79" s="97"/>
      <c r="QC79" s="97"/>
      <c r="QD79" s="97"/>
      <c r="QE79" s="97"/>
      <c r="QF79" s="97"/>
      <c r="QG79" s="97"/>
      <c r="QH79" s="97"/>
      <c r="QI79" s="97"/>
      <c r="QJ79" s="97"/>
      <c r="QK79" s="97"/>
      <c r="QL79" s="97"/>
      <c r="QM79" s="97"/>
      <c r="QN79" s="97"/>
      <c r="QO79" s="97"/>
      <c r="QP79" s="97"/>
      <c r="QQ79" s="97"/>
      <c r="QR79" s="97"/>
      <c r="QS79" s="97"/>
      <c r="QT79" s="97"/>
      <c r="QU79" s="97"/>
      <c r="QV79" s="97"/>
      <c r="QW79" s="97"/>
      <c r="QX79" s="97"/>
      <c r="QY79" s="97"/>
      <c r="QZ79" s="97"/>
      <c r="RA79" s="97"/>
      <c r="RB79" s="97"/>
      <c r="RC79" s="97"/>
      <c r="RD79" s="97"/>
      <c r="RE79" s="97"/>
      <c r="RF79" s="97"/>
      <c r="RG79" s="97"/>
      <c r="RH79" s="97"/>
      <c r="RI79" s="97"/>
      <c r="RJ79" s="97"/>
      <c r="RK79" s="97"/>
      <c r="RL79" s="97"/>
      <c r="RM79" s="97"/>
      <c r="RN79" s="97"/>
    </row>
    <row r="80" spans="1:482" s="60" customFormat="1" ht="11.25" customHeight="1" x14ac:dyDescent="0.2">
      <c r="A80" s="121">
        <v>1</v>
      </c>
      <c r="B80" s="175" t="s">
        <v>890</v>
      </c>
      <c r="C80" s="175"/>
      <c r="D80" s="115">
        <f>SUM(E80:RN80)</f>
        <v>0</v>
      </c>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t="s">
        <v>912</v>
      </c>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102"/>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c r="IW80" s="99"/>
      <c r="IX80" s="99"/>
      <c r="IY80" s="99"/>
      <c r="IZ80" s="99"/>
      <c r="JA80" s="99"/>
      <c r="JB80" s="99"/>
      <c r="JC80" s="99"/>
      <c r="JD80" s="99"/>
      <c r="JE80" s="99"/>
      <c r="JF80" s="99"/>
      <c r="JG80" s="99"/>
      <c r="JH80" s="99"/>
      <c r="JI80" s="99"/>
      <c r="JJ80" s="99"/>
      <c r="JK80" s="99"/>
      <c r="JL80" s="99"/>
      <c r="JM80" s="99"/>
      <c r="JN80" s="99"/>
      <c r="JO80" s="99"/>
      <c r="JP80" s="99"/>
      <c r="JQ80" s="99"/>
      <c r="JR80" s="99"/>
      <c r="JS80" s="99"/>
      <c r="JT80" s="99"/>
      <c r="JU80" s="99"/>
      <c r="JV80" s="99"/>
      <c r="JW80" s="99"/>
      <c r="JX80" s="99"/>
      <c r="JY80" s="99"/>
      <c r="JZ80" s="99"/>
      <c r="KA80" s="99"/>
      <c r="KB80" s="99"/>
      <c r="KC80" s="99"/>
      <c r="KD80" s="99"/>
      <c r="KE80" s="99"/>
      <c r="KF80" s="99"/>
      <c r="KG80" s="99"/>
      <c r="KH80" s="99"/>
      <c r="KI80" s="99"/>
      <c r="KJ80" s="99"/>
      <c r="KK80" s="99"/>
      <c r="KL80" s="99"/>
      <c r="KM80" s="99"/>
      <c r="KN80" s="99"/>
      <c r="KO80" s="99"/>
      <c r="KP80" s="99"/>
      <c r="KQ80" s="99"/>
      <c r="KR80" s="99"/>
      <c r="KS80" s="99"/>
      <c r="KT80" s="99"/>
      <c r="KU80" s="99"/>
      <c r="KV80" s="99"/>
      <c r="KW80" s="99"/>
      <c r="KX80" s="99"/>
      <c r="KY80" s="99"/>
      <c r="KZ80" s="99"/>
      <c r="LA80" s="99"/>
      <c r="LB80" s="99"/>
      <c r="LC80" s="99"/>
      <c r="LD80" s="99"/>
      <c r="LE80" s="99"/>
      <c r="LF80" s="99"/>
      <c r="LG80" s="99"/>
      <c r="LH80" s="99"/>
      <c r="LI80" s="99"/>
      <c r="LJ80" s="99"/>
      <c r="LK80" s="99"/>
      <c r="LL80" s="99"/>
      <c r="LM80" s="99"/>
      <c r="LN80" s="99"/>
      <c r="LO80" s="99"/>
      <c r="LP80" s="99"/>
      <c r="LQ80" s="99"/>
      <c r="LR80" s="99"/>
      <c r="LS80" s="99"/>
      <c r="LT80" s="99"/>
      <c r="LU80" s="99"/>
      <c r="LV80" s="99"/>
      <c r="LW80" s="99"/>
      <c r="LX80" s="99"/>
      <c r="LY80" s="99"/>
      <c r="LZ80" s="99"/>
      <c r="MA80" s="99"/>
      <c r="MB80" s="99"/>
      <c r="MC80" s="99"/>
      <c r="MD80" s="99"/>
      <c r="ME80" s="99"/>
      <c r="MF80" s="99"/>
      <c r="MG80" s="99"/>
      <c r="MH80" s="99"/>
      <c r="MI80" s="99"/>
      <c r="MJ80" s="99"/>
      <c r="MK80" s="99"/>
      <c r="ML80" s="99"/>
      <c r="MM80" s="99"/>
      <c r="MN80" s="99"/>
      <c r="MO80" s="99"/>
      <c r="MP80" s="99"/>
      <c r="MQ80" s="99"/>
      <c r="MR80" s="99"/>
      <c r="MS80" s="99"/>
      <c r="MT80" s="99"/>
      <c r="MU80" s="99"/>
      <c r="MV80" s="99"/>
      <c r="MW80" s="99"/>
      <c r="MX80" s="99"/>
      <c r="MY80" s="99"/>
      <c r="MZ80" s="99"/>
      <c r="NA80" s="99"/>
      <c r="NB80" s="99"/>
      <c r="NC80" s="99"/>
      <c r="ND80" s="99"/>
      <c r="NE80" s="99"/>
      <c r="NF80" s="99"/>
      <c r="NG80" s="99"/>
      <c r="NH80" s="99"/>
      <c r="NI80" s="99"/>
      <c r="NJ80" s="99"/>
      <c r="NK80" s="99"/>
      <c r="NL80" s="99"/>
      <c r="NM80" s="99"/>
      <c r="NN80" s="99"/>
      <c r="NO80" s="99"/>
      <c r="NP80" s="99"/>
      <c r="NQ80" s="99"/>
      <c r="NR80" s="99"/>
      <c r="NS80" s="99"/>
      <c r="NT80" s="99"/>
      <c r="NU80" s="99"/>
      <c r="NV80" s="99"/>
      <c r="NW80" s="99"/>
      <c r="NX80" s="99"/>
      <c r="NY80" s="99"/>
      <c r="NZ80" s="99"/>
      <c r="OA80" s="99"/>
      <c r="OB80" s="99"/>
      <c r="OC80" s="99"/>
      <c r="OD80" s="99"/>
      <c r="OE80" s="99"/>
      <c r="OF80" s="99"/>
      <c r="OG80" s="99"/>
      <c r="OH80" s="99"/>
      <c r="OI80" s="99"/>
      <c r="OJ80" s="99"/>
      <c r="OK80" s="99"/>
      <c r="OL80" s="99"/>
      <c r="OM80" s="99"/>
      <c r="ON80" s="99"/>
      <c r="OO80" s="99"/>
      <c r="OP80" s="99"/>
      <c r="OQ80" s="99"/>
      <c r="OR80" s="99"/>
      <c r="OS80" s="99"/>
      <c r="OT80" s="99"/>
      <c r="OU80" s="99"/>
      <c r="OV80" s="99"/>
      <c r="OW80" s="99"/>
      <c r="OX80" s="99"/>
      <c r="OY80" s="99"/>
      <c r="OZ80" s="99"/>
      <c r="PA80" s="99"/>
      <c r="PB80" s="99"/>
      <c r="PC80" s="99"/>
      <c r="PD80" s="99"/>
      <c r="PE80" s="99"/>
      <c r="PF80" s="99"/>
      <c r="PG80" s="99"/>
      <c r="PH80" s="99"/>
      <c r="PI80" s="99"/>
      <c r="PJ80" s="99"/>
      <c r="PK80" s="99"/>
      <c r="PL80" s="99"/>
      <c r="PM80" s="99"/>
      <c r="PN80" s="99"/>
      <c r="PO80" s="99"/>
      <c r="PP80" s="99"/>
      <c r="PQ80" s="99"/>
      <c r="PR80" s="99"/>
      <c r="PS80" s="99"/>
      <c r="PT80" s="99"/>
      <c r="PU80" s="99"/>
      <c r="PV80" s="99"/>
      <c r="PW80" s="99"/>
      <c r="PX80" s="99"/>
      <c r="PY80" s="99"/>
      <c r="PZ80" s="99"/>
      <c r="QA80" s="99"/>
      <c r="QB80" s="99"/>
      <c r="QC80" s="99"/>
      <c r="QD80" s="99"/>
      <c r="QE80" s="99"/>
      <c r="QF80" s="99"/>
      <c r="QG80" s="99"/>
      <c r="QH80" s="99"/>
      <c r="QI80" s="99"/>
      <c r="QJ80" s="99"/>
      <c r="QK80" s="99"/>
      <c r="QL80" s="99"/>
      <c r="QM80" s="99"/>
      <c r="QN80" s="99"/>
      <c r="QO80" s="99"/>
      <c r="QP80" s="99"/>
      <c r="QQ80" s="99"/>
      <c r="QR80" s="99"/>
      <c r="QS80" s="99"/>
      <c r="QT80" s="99"/>
      <c r="QU80" s="99"/>
      <c r="QV80" s="99"/>
      <c r="QW80" s="99"/>
      <c r="QX80" s="99"/>
      <c r="QY80" s="99"/>
      <c r="QZ80" s="99"/>
      <c r="RA80" s="99"/>
      <c r="RB80" s="99"/>
      <c r="RC80" s="99"/>
      <c r="RD80" s="99"/>
      <c r="RE80" s="99"/>
      <c r="RF80" s="99"/>
      <c r="RG80" s="99"/>
      <c r="RH80" s="99"/>
      <c r="RI80" s="99"/>
      <c r="RJ80" s="99"/>
      <c r="RK80" s="99"/>
      <c r="RL80" s="99"/>
      <c r="RM80" s="99"/>
      <c r="RN80" s="99"/>
    </row>
    <row r="81" spans="1:483" s="60" customFormat="1" ht="11.25" customHeight="1" x14ac:dyDescent="0.2">
      <c r="A81" s="121">
        <v>2</v>
      </c>
      <c r="B81" s="175" t="s">
        <v>891</v>
      </c>
      <c r="C81" s="175"/>
      <c r="D81" s="115">
        <f>SUM(E81:RN81)</f>
        <v>0</v>
      </c>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t="s">
        <v>912</v>
      </c>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102"/>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99"/>
      <c r="GD81" s="99"/>
      <c r="GE81" s="99"/>
      <c r="GF81" s="99"/>
      <c r="GG81" s="99"/>
      <c r="GH81" s="99"/>
      <c r="GI81" s="99"/>
      <c r="GJ81" s="99"/>
      <c r="GK81" s="99"/>
      <c r="GL81" s="99"/>
      <c r="GM81" s="99"/>
      <c r="GN81" s="99"/>
      <c r="GO81" s="99"/>
      <c r="GP81" s="99"/>
      <c r="GQ81" s="99"/>
      <c r="GR81" s="99"/>
      <c r="GS81" s="99"/>
      <c r="GT81" s="99"/>
      <c r="GU81" s="99"/>
      <c r="GV81" s="99"/>
      <c r="GW81" s="99"/>
      <c r="GX81" s="99"/>
      <c r="GY81" s="99"/>
      <c r="GZ81" s="99"/>
      <c r="HA81" s="99"/>
      <c r="HB81" s="99"/>
      <c r="HC81" s="99"/>
      <c r="HD81" s="99"/>
      <c r="HE81" s="99"/>
      <c r="HF81" s="99"/>
      <c r="HG81" s="99"/>
      <c r="HH81" s="99"/>
      <c r="HI81" s="99"/>
      <c r="HJ81" s="99"/>
      <c r="HK81" s="99"/>
      <c r="HL81" s="99"/>
      <c r="HM81" s="99"/>
      <c r="HN81" s="99"/>
      <c r="HO81" s="99"/>
      <c r="HP81" s="99"/>
      <c r="HQ81" s="99"/>
      <c r="HR81" s="99"/>
      <c r="HS81" s="99"/>
      <c r="HT81" s="99"/>
      <c r="HU81" s="99"/>
      <c r="HV81" s="99"/>
      <c r="HW81" s="99"/>
      <c r="HX81" s="99"/>
      <c r="HY81" s="99"/>
      <c r="HZ81" s="99"/>
      <c r="IA81" s="99"/>
      <c r="IB81" s="99"/>
      <c r="IC81" s="99"/>
      <c r="ID81" s="99"/>
      <c r="IE81" s="99"/>
      <c r="IF81" s="99"/>
      <c r="IG81" s="99"/>
      <c r="IH81" s="99"/>
      <c r="II81" s="99"/>
      <c r="IJ81" s="99"/>
      <c r="IK81" s="99"/>
      <c r="IL81" s="99"/>
      <c r="IM81" s="99"/>
      <c r="IN81" s="99"/>
      <c r="IO81" s="99"/>
      <c r="IP81" s="99"/>
      <c r="IQ81" s="99"/>
      <c r="IR81" s="99"/>
      <c r="IS81" s="99"/>
      <c r="IT81" s="99"/>
      <c r="IU81" s="99"/>
      <c r="IV81" s="99"/>
      <c r="IW81" s="99"/>
      <c r="IX81" s="99"/>
      <c r="IY81" s="99"/>
      <c r="IZ81" s="99"/>
      <c r="JA81" s="99"/>
      <c r="JB81" s="99"/>
      <c r="JC81" s="99"/>
      <c r="JD81" s="99"/>
      <c r="JE81" s="99"/>
      <c r="JF81" s="99"/>
      <c r="JG81" s="99"/>
      <c r="JH81" s="99"/>
      <c r="JI81" s="99"/>
      <c r="JJ81" s="99"/>
      <c r="JK81" s="99"/>
      <c r="JL81" s="99"/>
      <c r="JM81" s="99"/>
      <c r="JN81" s="99"/>
      <c r="JO81" s="99"/>
      <c r="JP81" s="99"/>
      <c r="JQ81" s="99"/>
      <c r="JR81" s="99"/>
      <c r="JS81" s="99"/>
      <c r="JT81" s="99"/>
      <c r="JU81" s="99"/>
      <c r="JV81" s="99"/>
      <c r="JW81" s="99"/>
      <c r="JX81" s="99"/>
      <c r="JY81" s="99"/>
      <c r="JZ81" s="99"/>
      <c r="KA81" s="99"/>
      <c r="KB81" s="99"/>
      <c r="KC81" s="99"/>
      <c r="KD81" s="99"/>
      <c r="KE81" s="99"/>
      <c r="KF81" s="99"/>
      <c r="KG81" s="99"/>
      <c r="KH81" s="99"/>
      <c r="KI81" s="99"/>
      <c r="KJ81" s="99"/>
      <c r="KK81" s="99"/>
      <c r="KL81" s="99"/>
      <c r="KM81" s="99"/>
      <c r="KN81" s="99"/>
      <c r="KO81" s="99"/>
      <c r="KP81" s="99"/>
      <c r="KQ81" s="99"/>
      <c r="KR81" s="99"/>
      <c r="KS81" s="99"/>
      <c r="KT81" s="99"/>
      <c r="KU81" s="99"/>
      <c r="KV81" s="99"/>
      <c r="KW81" s="99"/>
      <c r="KX81" s="99"/>
      <c r="KY81" s="99"/>
      <c r="KZ81" s="99"/>
      <c r="LA81" s="99"/>
      <c r="LB81" s="99"/>
      <c r="LC81" s="99"/>
      <c r="LD81" s="99"/>
      <c r="LE81" s="99"/>
      <c r="LF81" s="99"/>
      <c r="LG81" s="99"/>
      <c r="LH81" s="99"/>
      <c r="LI81" s="99"/>
      <c r="LJ81" s="99"/>
      <c r="LK81" s="99"/>
      <c r="LL81" s="99"/>
      <c r="LM81" s="99"/>
      <c r="LN81" s="99"/>
      <c r="LO81" s="99"/>
      <c r="LP81" s="99"/>
      <c r="LQ81" s="99"/>
      <c r="LR81" s="99"/>
      <c r="LS81" s="99"/>
      <c r="LT81" s="99"/>
      <c r="LU81" s="99"/>
      <c r="LV81" s="99"/>
      <c r="LW81" s="99"/>
      <c r="LX81" s="99"/>
      <c r="LY81" s="99"/>
      <c r="LZ81" s="99"/>
      <c r="MA81" s="99"/>
      <c r="MB81" s="99"/>
      <c r="MC81" s="99"/>
      <c r="MD81" s="99"/>
      <c r="ME81" s="99"/>
      <c r="MF81" s="99"/>
      <c r="MG81" s="99"/>
      <c r="MH81" s="99"/>
      <c r="MI81" s="99"/>
      <c r="MJ81" s="99"/>
      <c r="MK81" s="99"/>
      <c r="ML81" s="99"/>
      <c r="MM81" s="99"/>
      <c r="MN81" s="99"/>
      <c r="MO81" s="99"/>
      <c r="MP81" s="99"/>
      <c r="MQ81" s="99"/>
      <c r="MR81" s="99"/>
      <c r="MS81" s="99"/>
      <c r="MT81" s="99"/>
      <c r="MU81" s="99"/>
      <c r="MV81" s="99"/>
      <c r="MW81" s="99"/>
      <c r="MX81" s="99"/>
      <c r="MY81" s="99"/>
      <c r="MZ81" s="99"/>
      <c r="NA81" s="99"/>
      <c r="NB81" s="99"/>
      <c r="NC81" s="99"/>
      <c r="ND81" s="99"/>
      <c r="NE81" s="99"/>
      <c r="NF81" s="99"/>
      <c r="NG81" s="99"/>
      <c r="NH81" s="99"/>
      <c r="NI81" s="99"/>
      <c r="NJ81" s="99"/>
      <c r="NK81" s="99"/>
      <c r="NL81" s="99"/>
      <c r="NM81" s="99"/>
      <c r="NN81" s="99"/>
      <c r="NO81" s="99"/>
      <c r="NP81" s="99"/>
      <c r="NQ81" s="99"/>
      <c r="NR81" s="99"/>
      <c r="NS81" s="99"/>
      <c r="NT81" s="99"/>
      <c r="NU81" s="99"/>
      <c r="NV81" s="99"/>
      <c r="NW81" s="99"/>
      <c r="NX81" s="99"/>
      <c r="NY81" s="99"/>
      <c r="NZ81" s="99"/>
      <c r="OA81" s="99"/>
      <c r="OB81" s="99"/>
      <c r="OC81" s="99"/>
      <c r="OD81" s="99"/>
      <c r="OE81" s="99"/>
      <c r="OF81" s="99"/>
      <c r="OG81" s="99"/>
      <c r="OH81" s="99"/>
      <c r="OI81" s="99"/>
      <c r="OJ81" s="99"/>
      <c r="OK81" s="99"/>
      <c r="OL81" s="99"/>
      <c r="OM81" s="99"/>
      <c r="ON81" s="99"/>
      <c r="OO81" s="99"/>
      <c r="OP81" s="99"/>
      <c r="OQ81" s="99"/>
      <c r="OR81" s="99"/>
      <c r="OS81" s="99"/>
      <c r="OT81" s="99"/>
      <c r="OU81" s="99"/>
      <c r="OV81" s="99"/>
      <c r="OW81" s="99"/>
      <c r="OX81" s="99"/>
      <c r="OY81" s="99"/>
      <c r="OZ81" s="99"/>
      <c r="PA81" s="99"/>
      <c r="PB81" s="99"/>
      <c r="PC81" s="99"/>
      <c r="PD81" s="99"/>
      <c r="PE81" s="99"/>
      <c r="PF81" s="99"/>
      <c r="PG81" s="99"/>
      <c r="PH81" s="99"/>
      <c r="PI81" s="99"/>
      <c r="PJ81" s="99"/>
      <c r="PK81" s="99"/>
      <c r="PL81" s="99"/>
      <c r="PM81" s="99"/>
      <c r="PN81" s="99"/>
      <c r="PO81" s="99"/>
      <c r="PP81" s="99"/>
      <c r="PQ81" s="99"/>
      <c r="PR81" s="99"/>
      <c r="PS81" s="99"/>
      <c r="PT81" s="99"/>
      <c r="PU81" s="99"/>
      <c r="PV81" s="99"/>
      <c r="PW81" s="99"/>
      <c r="PX81" s="99"/>
      <c r="PY81" s="99"/>
      <c r="PZ81" s="99"/>
      <c r="QA81" s="99"/>
      <c r="QB81" s="99"/>
      <c r="QC81" s="99"/>
      <c r="QD81" s="99"/>
      <c r="QE81" s="99"/>
      <c r="QF81" s="99"/>
      <c r="QG81" s="99"/>
      <c r="QH81" s="99"/>
      <c r="QI81" s="99"/>
      <c r="QJ81" s="99"/>
      <c r="QK81" s="99"/>
      <c r="QL81" s="99"/>
      <c r="QM81" s="99"/>
      <c r="QN81" s="99"/>
      <c r="QO81" s="99"/>
      <c r="QP81" s="99"/>
      <c r="QQ81" s="99"/>
      <c r="QR81" s="99"/>
      <c r="QS81" s="99"/>
      <c r="QT81" s="99"/>
      <c r="QU81" s="99"/>
      <c r="QV81" s="99"/>
      <c r="QW81" s="99"/>
      <c r="QX81" s="99"/>
      <c r="QY81" s="99"/>
      <c r="QZ81" s="99"/>
      <c r="RA81" s="99"/>
      <c r="RB81" s="99"/>
      <c r="RC81" s="99"/>
      <c r="RD81" s="99"/>
      <c r="RE81" s="99"/>
      <c r="RF81" s="99"/>
      <c r="RG81" s="99"/>
      <c r="RH81" s="99"/>
      <c r="RI81" s="99"/>
      <c r="RJ81" s="99"/>
      <c r="RK81" s="99"/>
      <c r="RL81" s="99"/>
      <c r="RM81" s="99"/>
      <c r="RN81" s="99"/>
    </row>
    <row r="82" spans="1:483" s="60" customFormat="1" ht="11.25" customHeight="1" x14ac:dyDescent="0.2">
      <c r="A82" s="121">
        <v>3</v>
      </c>
      <c r="B82" s="175" t="s">
        <v>892</v>
      </c>
      <c r="C82" s="175"/>
      <c r="D82" s="115">
        <f>SUM(E82:RN82)</f>
        <v>0</v>
      </c>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t="s">
        <v>912</v>
      </c>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102"/>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c r="IW82" s="99"/>
      <c r="IX82" s="99"/>
      <c r="IY82" s="99"/>
      <c r="IZ82" s="99"/>
      <c r="JA82" s="99"/>
      <c r="JB82" s="99"/>
      <c r="JC82" s="99"/>
      <c r="JD82" s="99"/>
      <c r="JE82" s="99"/>
      <c r="JF82" s="99"/>
      <c r="JG82" s="99"/>
      <c r="JH82" s="99"/>
      <c r="JI82" s="99"/>
      <c r="JJ82" s="99"/>
      <c r="JK82" s="99"/>
      <c r="JL82" s="99"/>
      <c r="JM82" s="99"/>
      <c r="JN82" s="99"/>
      <c r="JO82" s="99"/>
      <c r="JP82" s="99"/>
      <c r="JQ82" s="99"/>
      <c r="JR82" s="99"/>
      <c r="JS82" s="99"/>
      <c r="JT82" s="99"/>
      <c r="JU82" s="99"/>
      <c r="JV82" s="99"/>
      <c r="JW82" s="99"/>
      <c r="JX82" s="99"/>
      <c r="JY82" s="99"/>
      <c r="JZ82" s="99"/>
      <c r="KA82" s="99"/>
      <c r="KB82" s="99"/>
      <c r="KC82" s="99"/>
      <c r="KD82" s="99"/>
      <c r="KE82" s="99"/>
      <c r="KF82" s="99"/>
      <c r="KG82" s="99"/>
      <c r="KH82" s="99"/>
      <c r="KI82" s="99"/>
      <c r="KJ82" s="99"/>
      <c r="KK82" s="99"/>
      <c r="KL82" s="99"/>
      <c r="KM82" s="99"/>
      <c r="KN82" s="99"/>
      <c r="KO82" s="99"/>
      <c r="KP82" s="99"/>
      <c r="KQ82" s="99"/>
      <c r="KR82" s="99"/>
      <c r="KS82" s="99"/>
      <c r="KT82" s="99"/>
      <c r="KU82" s="99"/>
      <c r="KV82" s="99"/>
      <c r="KW82" s="99"/>
      <c r="KX82" s="99"/>
      <c r="KY82" s="99"/>
      <c r="KZ82" s="99"/>
      <c r="LA82" s="99"/>
      <c r="LB82" s="99"/>
      <c r="LC82" s="99"/>
      <c r="LD82" s="99"/>
      <c r="LE82" s="99"/>
      <c r="LF82" s="99"/>
      <c r="LG82" s="99"/>
      <c r="LH82" s="99"/>
      <c r="LI82" s="99"/>
      <c r="LJ82" s="99"/>
      <c r="LK82" s="99"/>
      <c r="LL82" s="99"/>
      <c r="LM82" s="99"/>
      <c r="LN82" s="99"/>
      <c r="LO82" s="99"/>
      <c r="LP82" s="99"/>
      <c r="LQ82" s="99"/>
      <c r="LR82" s="99"/>
      <c r="LS82" s="99"/>
      <c r="LT82" s="99"/>
      <c r="LU82" s="99"/>
      <c r="LV82" s="99"/>
      <c r="LW82" s="99"/>
      <c r="LX82" s="99"/>
      <c r="LY82" s="99"/>
      <c r="LZ82" s="99"/>
      <c r="MA82" s="99"/>
      <c r="MB82" s="99"/>
      <c r="MC82" s="99"/>
      <c r="MD82" s="99"/>
      <c r="ME82" s="99"/>
      <c r="MF82" s="99"/>
      <c r="MG82" s="99"/>
      <c r="MH82" s="99"/>
      <c r="MI82" s="99"/>
      <c r="MJ82" s="99"/>
      <c r="MK82" s="99"/>
      <c r="ML82" s="99"/>
      <c r="MM82" s="99"/>
      <c r="MN82" s="99"/>
      <c r="MO82" s="99"/>
      <c r="MP82" s="99"/>
      <c r="MQ82" s="99"/>
      <c r="MR82" s="99"/>
      <c r="MS82" s="99"/>
      <c r="MT82" s="99"/>
      <c r="MU82" s="99"/>
      <c r="MV82" s="99"/>
      <c r="MW82" s="99"/>
      <c r="MX82" s="99"/>
      <c r="MY82" s="99"/>
      <c r="MZ82" s="99"/>
      <c r="NA82" s="99"/>
      <c r="NB82" s="99"/>
      <c r="NC82" s="99"/>
      <c r="ND82" s="99"/>
      <c r="NE82" s="99"/>
      <c r="NF82" s="99"/>
      <c r="NG82" s="99"/>
      <c r="NH82" s="99"/>
      <c r="NI82" s="99"/>
      <c r="NJ82" s="99"/>
      <c r="NK82" s="99"/>
      <c r="NL82" s="99"/>
      <c r="NM82" s="99"/>
      <c r="NN82" s="99"/>
      <c r="NO82" s="99"/>
      <c r="NP82" s="99"/>
      <c r="NQ82" s="99"/>
      <c r="NR82" s="99"/>
      <c r="NS82" s="99"/>
      <c r="NT82" s="99"/>
      <c r="NU82" s="99"/>
      <c r="NV82" s="99"/>
      <c r="NW82" s="99"/>
      <c r="NX82" s="99"/>
      <c r="NY82" s="99"/>
      <c r="NZ82" s="99"/>
      <c r="OA82" s="99"/>
      <c r="OB82" s="99"/>
      <c r="OC82" s="99"/>
      <c r="OD82" s="99"/>
      <c r="OE82" s="99"/>
      <c r="OF82" s="99"/>
      <c r="OG82" s="99"/>
      <c r="OH82" s="99"/>
      <c r="OI82" s="99"/>
      <c r="OJ82" s="99"/>
      <c r="OK82" s="99"/>
      <c r="OL82" s="99"/>
      <c r="OM82" s="99"/>
      <c r="ON82" s="99"/>
      <c r="OO82" s="99"/>
      <c r="OP82" s="99"/>
      <c r="OQ82" s="99"/>
      <c r="OR82" s="99"/>
      <c r="OS82" s="99"/>
      <c r="OT82" s="99"/>
      <c r="OU82" s="99"/>
      <c r="OV82" s="99"/>
      <c r="OW82" s="99"/>
      <c r="OX82" s="99"/>
      <c r="OY82" s="99"/>
      <c r="OZ82" s="99"/>
      <c r="PA82" s="99"/>
      <c r="PB82" s="99"/>
      <c r="PC82" s="99"/>
      <c r="PD82" s="99"/>
      <c r="PE82" s="99"/>
      <c r="PF82" s="99"/>
      <c r="PG82" s="99"/>
      <c r="PH82" s="99"/>
      <c r="PI82" s="99"/>
      <c r="PJ82" s="99"/>
      <c r="PK82" s="99"/>
      <c r="PL82" s="99"/>
      <c r="PM82" s="99"/>
      <c r="PN82" s="99"/>
      <c r="PO82" s="99"/>
      <c r="PP82" s="99"/>
      <c r="PQ82" s="99"/>
      <c r="PR82" s="99"/>
      <c r="PS82" s="99"/>
      <c r="PT82" s="99"/>
      <c r="PU82" s="99"/>
      <c r="PV82" s="99"/>
      <c r="PW82" s="99"/>
      <c r="PX82" s="99"/>
      <c r="PY82" s="99"/>
      <c r="PZ82" s="99"/>
      <c r="QA82" s="99"/>
      <c r="QB82" s="99"/>
      <c r="QC82" s="99"/>
      <c r="QD82" s="99"/>
      <c r="QE82" s="99"/>
      <c r="QF82" s="99"/>
      <c r="QG82" s="99"/>
      <c r="QH82" s="99"/>
      <c r="QI82" s="99"/>
      <c r="QJ82" s="99"/>
      <c r="QK82" s="99"/>
      <c r="QL82" s="99"/>
      <c r="QM82" s="99"/>
      <c r="QN82" s="99"/>
      <c r="QO82" s="99"/>
      <c r="QP82" s="99"/>
      <c r="QQ82" s="99"/>
      <c r="QR82" s="99"/>
      <c r="QS82" s="99"/>
      <c r="QT82" s="99"/>
      <c r="QU82" s="99"/>
      <c r="QV82" s="99"/>
      <c r="QW82" s="99"/>
      <c r="QX82" s="99"/>
      <c r="QY82" s="99"/>
      <c r="QZ82" s="99"/>
      <c r="RA82" s="99"/>
      <c r="RB82" s="99"/>
      <c r="RC82" s="99"/>
      <c r="RD82" s="99"/>
      <c r="RE82" s="99"/>
      <c r="RF82" s="99"/>
      <c r="RG82" s="99"/>
      <c r="RH82" s="99"/>
      <c r="RI82" s="99"/>
      <c r="RJ82" s="99"/>
      <c r="RK82" s="99"/>
      <c r="RL82" s="99"/>
      <c r="RM82" s="99"/>
      <c r="RN82" s="99"/>
    </row>
    <row r="83" spans="1:483" s="60" customFormat="1" ht="11.25" customHeight="1" x14ac:dyDescent="0.2">
      <c r="A83" s="121">
        <v>4</v>
      </c>
      <c r="B83" s="175" t="s">
        <v>893</v>
      </c>
      <c r="C83" s="175"/>
      <c r="D83" s="115">
        <f>SUM(E83:RN83)</f>
        <v>0</v>
      </c>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t="s">
        <v>912</v>
      </c>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102"/>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H83" s="99"/>
      <c r="HI83" s="99"/>
      <c r="HJ83" s="99"/>
      <c r="HK83" s="99"/>
      <c r="HL83" s="99"/>
      <c r="HM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c r="IM83" s="99"/>
      <c r="IN83" s="99"/>
      <c r="IO83" s="99"/>
      <c r="IP83" s="99"/>
      <c r="IQ83" s="99"/>
      <c r="IR83" s="99"/>
      <c r="IS83" s="99"/>
      <c r="IT83" s="99"/>
      <c r="IU83" s="99"/>
      <c r="IV83" s="99"/>
      <c r="IW83" s="99"/>
      <c r="IX83" s="99"/>
      <c r="IY83" s="99"/>
      <c r="IZ83" s="99"/>
      <c r="JA83" s="99"/>
      <c r="JB83" s="99"/>
      <c r="JC83" s="99"/>
      <c r="JD83" s="99"/>
      <c r="JE83" s="99"/>
      <c r="JF83" s="99"/>
      <c r="JG83" s="99"/>
      <c r="JH83" s="99"/>
      <c r="JI83" s="99"/>
      <c r="JJ83" s="99"/>
      <c r="JK83" s="99"/>
      <c r="JL83" s="99"/>
      <c r="JM83" s="99"/>
      <c r="JN83" s="99"/>
      <c r="JO83" s="99"/>
      <c r="JP83" s="99"/>
      <c r="JQ83" s="99"/>
      <c r="JR83" s="99"/>
      <c r="JS83" s="99"/>
      <c r="JT83" s="99"/>
      <c r="JU83" s="99"/>
      <c r="JV83" s="99"/>
      <c r="JW83" s="99"/>
      <c r="JX83" s="99"/>
      <c r="JY83" s="99"/>
      <c r="JZ83" s="99"/>
      <c r="KA83" s="99"/>
      <c r="KB83" s="99"/>
      <c r="KC83" s="99"/>
      <c r="KD83" s="99"/>
      <c r="KE83" s="99"/>
      <c r="KF83" s="99"/>
      <c r="KG83" s="99"/>
      <c r="KH83" s="99"/>
      <c r="KI83" s="99"/>
      <c r="KJ83" s="99"/>
      <c r="KK83" s="99"/>
      <c r="KL83" s="99"/>
      <c r="KM83" s="99"/>
      <c r="KN83" s="99"/>
      <c r="KO83" s="99"/>
      <c r="KP83" s="99"/>
      <c r="KQ83" s="99"/>
      <c r="KR83" s="99"/>
      <c r="KS83" s="99"/>
      <c r="KT83" s="99"/>
      <c r="KU83" s="99"/>
      <c r="KV83" s="99"/>
      <c r="KW83" s="99"/>
      <c r="KX83" s="99"/>
      <c r="KY83" s="99"/>
      <c r="KZ83" s="99"/>
      <c r="LA83" s="99"/>
      <c r="LB83" s="99"/>
      <c r="LC83" s="99"/>
      <c r="LD83" s="99"/>
      <c r="LE83" s="99"/>
      <c r="LF83" s="99"/>
      <c r="LG83" s="99"/>
      <c r="LH83" s="99"/>
      <c r="LI83" s="99"/>
      <c r="LJ83" s="99"/>
      <c r="LK83" s="99"/>
      <c r="LL83" s="99"/>
      <c r="LM83" s="99"/>
      <c r="LN83" s="99"/>
      <c r="LO83" s="99"/>
      <c r="LP83" s="99"/>
      <c r="LQ83" s="99"/>
      <c r="LR83" s="99"/>
      <c r="LS83" s="99"/>
      <c r="LT83" s="99"/>
      <c r="LU83" s="99"/>
      <c r="LV83" s="99"/>
      <c r="LW83" s="99"/>
      <c r="LX83" s="99"/>
      <c r="LY83" s="99"/>
      <c r="LZ83" s="99"/>
      <c r="MA83" s="99"/>
      <c r="MB83" s="99"/>
      <c r="MC83" s="99"/>
      <c r="MD83" s="99"/>
      <c r="ME83" s="99"/>
      <c r="MF83" s="99"/>
      <c r="MG83" s="99"/>
      <c r="MH83" s="99"/>
      <c r="MI83" s="99"/>
      <c r="MJ83" s="99"/>
      <c r="MK83" s="99"/>
      <c r="ML83" s="99"/>
      <c r="MM83" s="99"/>
      <c r="MN83" s="99"/>
      <c r="MO83" s="99"/>
      <c r="MP83" s="99"/>
      <c r="MQ83" s="99"/>
      <c r="MR83" s="99"/>
      <c r="MS83" s="99"/>
      <c r="MT83" s="99"/>
      <c r="MU83" s="99"/>
      <c r="MV83" s="99"/>
      <c r="MW83" s="99"/>
      <c r="MX83" s="99"/>
      <c r="MY83" s="99"/>
      <c r="MZ83" s="99"/>
      <c r="NA83" s="99"/>
      <c r="NB83" s="99"/>
      <c r="NC83" s="99"/>
      <c r="ND83" s="99"/>
      <c r="NE83" s="99"/>
      <c r="NF83" s="99"/>
      <c r="NG83" s="99"/>
      <c r="NH83" s="99"/>
      <c r="NI83" s="99"/>
      <c r="NJ83" s="99"/>
      <c r="NK83" s="99"/>
      <c r="NL83" s="99"/>
      <c r="NM83" s="99"/>
      <c r="NN83" s="99"/>
      <c r="NO83" s="99"/>
      <c r="NP83" s="99"/>
      <c r="NQ83" s="99"/>
      <c r="NR83" s="99"/>
      <c r="NS83" s="99"/>
      <c r="NT83" s="99"/>
      <c r="NU83" s="99"/>
      <c r="NV83" s="99"/>
      <c r="NW83" s="99"/>
      <c r="NX83" s="99"/>
      <c r="NY83" s="99"/>
      <c r="NZ83" s="99"/>
      <c r="OA83" s="99"/>
      <c r="OB83" s="99"/>
      <c r="OC83" s="99"/>
      <c r="OD83" s="99"/>
      <c r="OE83" s="99"/>
      <c r="OF83" s="99"/>
      <c r="OG83" s="99"/>
      <c r="OH83" s="99"/>
      <c r="OI83" s="99"/>
      <c r="OJ83" s="99"/>
      <c r="OK83" s="99"/>
      <c r="OL83" s="99"/>
      <c r="OM83" s="99"/>
      <c r="ON83" s="99"/>
      <c r="OO83" s="99"/>
      <c r="OP83" s="99"/>
      <c r="OQ83" s="99"/>
      <c r="OR83" s="99"/>
      <c r="OS83" s="99"/>
      <c r="OT83" s="99"/>
      <c r="OU83" s="99"/>
      <c r="OV83" s="99"/>
      <c r="OW83" s="99"/>
      <c r="OX83" s="99"/>
      <c r="OY83" s="99"/>
      <c r="OZ83" s="99"/>
      <c r="PA83" s="99"/>
      <c r="PB83" s="99"/>
      <c r="PC83" s="99"/>
      <c r="PD83" s="99"/>
      <c r="PE83" s="99"/>
      <c r="PF83" s="99"/>
      <c r="PG83" s="99"/>
      <c r="PH83" s="99"/>
      <c r="PI83" s="99"/>
      <c r="PJ83" s="99"/>
      <c r="PK83" s="99"/>
      <c r="PL83" s="99"/>
      <c r="PM83" s="99"/>
      <c r="PN83" s="99"/>
      <c r="PO83" s="99"/>
      <c r="PP83" s="99"/>
      <c r="PQ83" s="99"/>
      <c r="PR83" s="99"/>
      <c r="PS83" s="99"/>
      <c r="PT83" s="99"/>
      <c r="PU83" s="99"/>
      <c r="PV83" s="99"/>
      <c r="PW83" s="99"/>
      <c r="PX83" s="99"/>
      <c r="PY83" s="99"/>
      <c r="PZ83" s="99"/>
      <c r="QA83" s="99"/>
      <c r="QB83" s="99"/>
      <c r="QC83" s="99"/>
      <c r="QD83" s="99"/>
      <c r="QE83" s="99"/>
      <c r="QF83" s="99"/>
      <c r="QG83" s="99"/>
      <c r="QH83" s="99"/>
      <c r="QI83" s="99"/>
      <c r="QJ83" s="99"/>
      <c r="QK83" s="99"/>
      <c r="QL83" s="99"/>
      <c r="QM83" s="99"/>
      <c r="QN83" s="99"/>
      <c r="QO83" s="99"/>
      <c r="QP83" s="99"/>
      <c r="QQ83" s="99"/>
      <c r="QR83" s="99"/>
      <c r="QS83" s="99"/>
      <c r="QT83" s="99"/>
      <c r="QU83" s="99"/>
      <c r="QV83" s="99"/>
      <c r="QW83" s="99"/>
      <c r="QX83" s="99"/>
      <c r="QY83" s="99"/>
      <c r="QZ83" s="99"/>
      <c r="RA83" s="99"/>
      <c r="RB83" s="99"/>
      <c r="RC83" s="99"/>
      <c r="RD83" s="99"/>
      <c r="RE83" s="99"/>
      <c r="RF83" s="99"/>
      <c r="RG83" s="99"/>
      <c r="RH83" s="99"/>
      <c r="RI83" s="99"/>
      <c r="RJ83" s="99"/>
      <c r="RK83" s="99"/>
      <c r="RL83" s="99"/>
      <c r="RM83" s="99"/>
      <c r="RN83" s="99"/>
    </row>
    <row r="84" spans="1:483" s="60" customFormat="1" ht="11.25" customHeight="1" x14ac:dyDescent="0.2">
      <c r="A84" s="121">
        <v>5</v>
      </c>
      <c r="B84" s="175" t="s">
        <v>894</v>
      </c>
      <c r="C84" s="175"/>
      <c r="D84" s="115">
        <f>SUM(E84:RN84)</f>
        <v>0</v>
      </c>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t="s">
        <v>912</v>
      </c>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102"/>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H84" s="99"/>
      <c r="HI84" s="99"/>
      <c r="HJ84" s="99"/>
      <c r="HK84" s="99"/>
      <c r="HL84" s="99"/>
      <c r="HM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c r="IW84" s="99"/>
      <c r="IX84" s="99"/>
      <c r="IY84" s="99"/>
      <c r="IZ84" s="99"/>
      <c r="JA84" s="99"/>
      <c r="JB84" s="99"/>
      <c r="JC84" s="99"/>
      <c r="JD84" s="99"/>
      <c r="JE84" s="99"/>
      <c r="JF84" s="99"/>
      <c r="JG84" s="99"/>
      <c r="JH84" s="99"/>
      <c r="JI84" s="99"/>
      <c r="JJ84" s="99"/>
      <c r="JK84" s="99"/>
      <c r="JL84" s="99"/>
      <c r="JM84" s="99"/>
      <c r="JN84" s="99"/>
      <c r="JO84" s="99"/>
      <c r="JP84" s="99"/>
      <c r="JQ84" s="99"/>
      <c r="JR84" s="99"/>
      <c r="JS84" s="99"/>
      <c r="JT84" s="99"/>
      <c r="JU84" s="99"/>
      <c r="JV84" s="99"/>
      <c r="JW84" s="99"/>
      <c r="JX84" s="99"/>
      <c r="JY84" s="99"/>
      <c r="JZ84" s="99"/>
      <c r="KA84" s="99"/>
      <c r="KB84" s="99"/>
      <c r="KC84" s="99"/>
      <c r="KD84" s="99"/>
      <c r="KE84" s="99"/>
      <c r="KF84" s="99"/>
      <c r="KG84" s="99"/>
      <c r="KH84" s="99"/>
      <c r="KI84" s="99"/>
      <c r="KJ84" s="99"/>
      <c r="KK84" s="99"/>
      <c r="KL84" s="99"/>
      <c r="KM84" s="99"/>
      <c r="KN84" s="99"/>
      <c r="KO84" s="99"/>
      <c r="KP84" s="99"/>
      <c r="KQ84" s="99"/>
      <c r="KR84" s="99"/>
      <c r="KS84" s="99"/>
      <c r="KT84" s="99"/>
      <c r="KU84" s="99"/>
      <c r="KV84" s="99"/>
      <c r="KW84" s="99"/>
      <c r="KX84" s="99"/>
      <c r="KY84" s="99"/>
      <c r="KZ84" s="99"/>
      <c r="LA84" s="99"/>
      <c r="LB84" s="99"/>
      <c r="LC84" s="99"/>
      <c r="LD84" s="99"/>
      <c r="LE84" s="99"/>
      <c r="LF84" s="99"/>
      <c r="LG84" s="99"/>
      <c r="LH84" s="99"/>
      <c r="LI84" s="99"/>
      <c r="LJ84" s="99"/>
      <c r="LK84" s="99"/>
      <c r="LL84" s="99"/>
      <c r="LM84" s="99"/>
      <c r="LN84" s="99"/>
      <c r="LO84" s="99"/>
      <c r="LP84" s="99"/>
      <c r="LQ84" s="99"/>
      <c r="LR84" s="99"/>
      <c r="LS84" s="99"/>
      <c r="LT84" s="99"/>
      <c r="LU84" s="99"/>
      <c r="LV84" s="99"/>
      <c r="LW84" s="99"/>
      <c r="LX84" s="99"/>
      <c r="LY84" s="99"/>
      <c r="LZ84" s="99"/>
      <c r="MA84" s="99"/>
      <c r="MB84" s="99"/>
      <c r="MC84" s="99"/>
      <c r="MD84" s="99"/>
      <c r="ME84" s="99"/>
      <c r="MF84" s="99"/>
      <c r="MG84" s="99"/>
      <c r="MH84" s="99"/>
      <c r="MI84" s="99"/>
      <c r="MJ84" s="99"/>
      <c r="MK84" s="99"/>
      <c r="ML84" s="99"/>
      <c r="MM84" s="99"/>
      <c r="MN84" s="99"/>
      <c r="MO84" s="99"/>
      <c r="MP84" s="99"/>
      <c r="MQ84" s="99"/>
      <c r="MR84" s="99"/>
      <c r="MS84" s="99"/>
      <c r="MT84" s="99"/>
      <c r="MU84" s="99"/>
      <c r="MV84" s="99"/>
      <c r="MW84" s="99"/>
      <c r="MX84" s="99"/>
      <c r="MY84" s="99"/>
      <c r="MZ84" s="99"/>
      <c r="NA84" s="99"/>
      <c r="NB84" s="99"/>
      <c r="NC84" s="99"/>
      <c r="ND84" s="99"/>
      <c r="NE84" s="99"/>
      <c r="NF84" s="99"/>
      <c r="NG84" s="99"/>
      <c r="NH84" s="99"/>
      <c r="NI84" s="99"/>
      <c r="NJ84" s="99"/>
      <c r="NK84" s="99"/>
      <c r="NL84" s="99"/>
      <c r="NM84" s="99"/>
      <c r="NN84" s="99"/>
      <c r="NO84" s="99"/>
      <c r="NP84" s="99"/>
      <c r="NQ84" s="99"/>
      <c r="NR84" s="99"/>
      <c r="NS84" s="99"/>
      <c r="NT84" s="99"/>
      <c r="NU84" s="99"/>
      <c r="NV84" s="99"/>
      <c r="NW84" s="99"/>
      <c r="NX84" s="99"/>
      <c r="NY84" s="99"/>
      <c r="NZ84" s="99"/>
      <c r="OA84" s="99"/>
      <c r="OB84" s="99"/>
      <c r="OC84" s="99"/>
      <c r="OD84" s="99"/>
      <c r="OE84" s="99"/>
      <c r="OF84" s="99"/>
      <c r="OG84" s="99"/>
      <c r="OH84" s="99"/>
      <c r="OI84" s="99"/>
      <c r="OJ84" s="99"/>
      <c r="OK84" s="99"/>
      <c r="OL84" s="99"/>
      <c r="OM84" s="99"/>
      <c r="ON84" s="99"/>
      <c r="OO84" s="99"/>
      <c r="OP84" s="99"/>
      <c r="OQ84" s="99"/>
      <c r="OR84" s="99"/>
      <c r="OS84" s="99"/>
      <c r="OT84" s="99"/>
      <c r="OU84" s="99"/>
      <c r="OV84" s="99"/>
      <c r="OW84" s="99"/>
      <c r="OX84" s="99"/>
      <c r="OY84" s="99"/>
      <c r="OZ84" s="99"/>
      <c r="PA84" s="99"/>
      <c r="PB84" s="99"/>
      <c r="PC84" s="99"/>
      <c r="PD84" s="99"/>
      <c r="PE84" s="99"/>
      <c r="PF84" s="99"/>
      <c r="PG84" s="99"/>
      <c r="PH84" s="99"/>
      <c r="PI84" s="99"/>
      <c r="PJ84" s="99"/>
      <c r="PK84" s="99"/>
      <c r="PL84" s="99"/>
      <c r="PM84" s="99"/>
      <c r="PN84" s="99"/>
      <c r="PO84" s="99"/>
      <c r="PP84" s="99"/>
      <c r="PQ84" s="99"/>
      <c r="PR84" s="99"/>
      <c r="PS84" s="99"/>
      <c r="PT84" s="99"/>
      <c r="PU84" s="99"/>
      <c r="PV84" s="99"/>
      <c r="PW84" s="99"/>
      <c r="PX84" s="99"/>
      <c r="PY84" s="99"/>
      <c r="PZ84" s="99"/>
      <c r="QA84" s="99"/>
      <c r="QB84" s="99"/>
      <c r="QC84" s="99"/>
      <c r="QD84" s="99"/>
      <c r="QE84" s="99"/>
      <c r="QF84" s="99"/>
      <c r="QG84" s="99"/>
      <c r="QH84" s="99"/>
      <c r="QI84" s="99"/>
      <c r="QJ84" s="99"/>
      <c r="QK84" s="99"/>
      <c r="QL84" s="99"/>
      <c r="QM84" s="99"/>
      <c r="QN84" s="99"/>
      <c r="QO84" s="99"/>
      <c r="QP84" s="99"/>
      <c r="QQ84" s="99"/>
      <c r="QR84" s="99"/>
      <c r="QS84" s="99"/>
      <c r="QT84" s="99"/>
      <c r="QU84" s="99"/>
      <c r="QV84" s="99"/>
      <c r="QW84" s="99"/>
      <c r="QX84" s="99"/>
      <c r="QY84" s="99"/>
      <c r="QZ84" s="99"/>
      <c r="RA84" s="99"/>
      <c r="RB84" s="99"/>
      <c r="RC84" s="99"/>
      <c r="RD84" s="99"/>
      <c r="RE84" s="99"/>
      <c r="RF84" s="99"/>
      <c r="RG84" s="99"/>
      <c r="RH84" s="99"/>
      <c r="RI84" s="99"/>
      <c r="RJ84" s="99"/>
      <c r="RK84" s="99"/>
      <c r="RL84" s="99"/>
      <c r="RM84" s="99"/>
      <c r="RN84" s="99"/>
    </row>
    <row r="85" spans="1:483" s="60" customFormat="1" ht="10.5" customHeight="1" x14ac:dyDescent="0.2">
      <c r="A85" s="121">
        <v>6</v>
      </c>
      <c r="B85" s="183" t="s">
        <v>820</v>
      </c>
      <c r="C85" s="161" t="s">
        <v>885</v>
      </c>
      <c r="D85" s="115">
        <f t="shared" ref="D85:D91" si="344">SUM(E85:RR85)</f>
        <v>2300</v>
      </c>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v>2300</v>
      </c>
      <c r="BF85" s="114"/>
      <c r="BG85" s="114"/>
      <c r="BH85" s="114"/>
      <c r="BI85" s="114"/>
      <c r="BJ85" s="114"/>
      <c r="BK85" s="114" t="s">
        <v>912</v>
      </c>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102"/>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c r="GH85" s="99"/>
      <c r="GI85" s="99"/>
      <c r="GJ85" s="99"/>
      <c r="GK85" s="99"/>
      <c r="GL85" s="99"/>
      <c r="GM85" s="99"/>
      <c r="GN85" s="99"/>
      <c r="GO85" s="99"/>
      <c r="GP85" s="99"/>
      <c r="GQ85" s="99"/>
      <c r="GR85" s="99"/>
      <c r="GS85" s="99"/>
      <c r="GT85" s="99"/>
      <c r="GU85" s="99"/>
      <c r="GV85" s="99"/>
      <c r="GW85" s="99"/>
      <c r="GX85" s="99"/>
      <c r="GY85" s="99"/>
      <c r="GZ85" s="99"/>
      <c r="HA85" s="99"/>
      <c r="HB85" s="99"/>
      <c r="HC85" s="99"/>
      <c r="HD85" s="99"/>
      <c r="HE85" s="99"/>
      <c r="HF85" s="99"/>
      <c r="HG85" s="99"/>
      <c r="HH85" s="99"/>
      <c r="HI85" s="99"/>
      <c r="HJ85" s="99"/>
      <c r="HK85" s="99"/>
      <c r="HL85" s="99"/>
      <c r="HM85" s="99"/>
      <c r="HN85" s="99"/>
      <c r="HO85" s="99"/>
      <c r="HP85" s="99"/>
      <c r="HQ85" s="99"/>
      <c r="HR85" s="99"/>
      <c r="HS85" s="99"/>
      <c r="HT85" s="99"/>
      <c r="HU85" s="99"/>
      <c r="HV85" s="99"/>
      <c r="HW85" s="99"/>
      <c r="HX85" s="99"/>
      <c r="HY85" s="99"/>
      <c r="HZ85" s="99"/>
      <c r="IA85" s="99"/>
      <c r="IB85" s="99"/>
      <c r="IC85" s="99"/>
      <c r="ID85" s="99"/>
      <c r="IE85" s="99"/>
      <c r="IF85" s="99"/>
      <c r="IG85" s="99"/>
      <c r="IH85" s="99"/>
      <c r="II85" s="99"/>
      <c r="IJ85" s="99"/>
      <c r="IK85" s="99"/>
      <c r="IL85" s="99"/>
      <c r="IM85" s="99"/>
      <c r="IN85" s="99"/>
      <c r="IO85" s="99"/>
      <c r="IP85" s="99"/>
      <c r="IQ85" s="99"/>
      <c r="IR85" s="99"/>
      <c r="IS85" s="99"/>
      <c r="IT85" s="99"/>
      <c r="IU85" s="99"/>
      <c r="IV85" s="99"/>
      <c r="IW85" s="99"/>
      <c r="IX85" s="99"/>
      <c r="IY85" s="99"/>
      <c r="IZ85" s="99"/>
      <c r="JA85" s="99"/>
      <c r="JB85" s="99"/>
      <c r="JC85" s="99"/>
      <c r="JD85" s="99"/>
      <c r="JE85" s="99"/>
      <c r="JF85" s="99"/>
      <c r="JG85" s="99"/>
      <c r="JH85" s="99"/>
      <c r="JI85" s="99"/>
      <c r="JJ85" s="99"/>
      <c r="JK85" s="99"/>
      <c r="JL85" s="99"/>
      <c r="JM85" s="99"/>
      <c r="JN85" s="99"/>
      <c r="JO85" s="99"/>
      <c r="JP85" s="99"/>
      <c r="JQ85" s="99"/>
      <c r="JR85" s="99"/>
      <c r="JS85" s="99"/>
      <c r="JT85" s="99"/>
      <c r="JU85" s="99"/>
      <c r="JV85" s="99"/>
      <c r="JW85" s="99"/>
      <c r="JX85" s="99"/>
      <c r="JY85" s="99"/>
      <c r="JZ85" s="99"/>
      <c r="KA85" s="99"/>
      <c r="KB85" s="99"/>
      <c r="KC85" s="99"/>
      <c r="KD85" s="99"/>
      <c r="KE85" s="99"/>
      <c r="KF85" s="99"/>
      <c r="KG85" s="99"/>
      <c r="KH85" s="99"/>
      <c r="KI85" s="99"/>
      <c r="KJ85" s="99"/>
      <c r="KK85" s="99"/>
      <c r="KL85" s="99"/>
      <c r="KM85" s="99"/>
      <c r="KN85" s="99"/>
      <c r="KO85" s="99"/>
      <c r="KP85" s="99"/>
      <c r="KQ85" s="99"/>
      <c r="KR85" s="99"/>
      <c r="KS85" s="99"/>
      <c r="KT85" s="99"/>
      <c r="KU85" s="99"/>
      <c r="KV85" s="99"/>
      <c r="KW85" s="99"/>
      <c r="KX85" s="99"/>
      <c r="KY85" s="99"/>
      <c r="KZ85" s="99"/>
      <c r="LA85" s="99"/>
      <c r="LB85" s="99"/>
      <c r="LC85" s="99"/>
      <c r="LD85" s="99"/>
      <c r="LE85" s="99"/>
      <c r="LF85" s="99"/>
      <c r="LG85" s="99"/>
      <c r="LH85" s="99"/>
      <c r="LI85" s="99"/>
      <c r="LJ85" s="99"/>
      <c r="LK85" s="99"/>
      <c r="LL85" s="99"/>
      <c r="LM85" s="99"/>
      <c r="LN85" s="99"/>
      <c r="LO85" s="99"/>
      <c r="LP85" s="99"/>
      <c r="LQ85" s="99"/>
      <c r="LR85" s="99"/>
      <c r="LS85" s="99"/>
      <c r="LT85" s="99"/>
      <c r="LU85" s="99"/>
      <c r="LV85" s="99"/>
      <c r="LW85" s="99"/>
      <c r="LX85" s="99"/>
      <c r="LY85" s="99"/>
      <c r="LZ85" s="99"/>
      <c r="MA85" s="99"/>
      <c r="MB85" s="99"/>
      <c r="MC85" s="99"/>
      <c r="MD85" s="99"/>
      <c r="ME85" s="99"/>
      <c r="MF85" s="99"/>
      <c r="MG85" s="99"/>
      <c r="MH85" s="99"/>
      <c r="MI85" s="99"/>
      <c r="MJ85" s="99"/>
      <c r="MK85" s="99"/>
      <c r="ML85" s="99"/>
      <c r="MM85" s="99"/>
      <c r="MN85" s="99"/>
      <c r="MO85" s="99"/>
      <c r="MP85" s="99"/>
      <c r="MQ85" s="99"/>
      <c r="MR85" s="99"/>
      <c r="MS85" s="99"/>
      <c r="MT85" s="99"/>
      <c r="MU85" s="99"/>
      <c r="MV85" s="99"/>
      <c r="MW85" s="99"/>
      <c r="MX85" s="99"/>
      <c r="MY85" s="99"/>
      <c r="MZ85" s="99"/>
      <c r="NA85" s="99"/>
      <c r="NB85" s="99"/>
      <c r="NC85" s="99"/>
      <c r="ND85" s="99"/>
      <c r="NE85" s="99"/>
      <c r="NF85" s="99"/>
      <c r="NG85" s="99"/>
      <c r="NH85" s="99"/>
      <c r="NI85" s="99"/>
      <c r="NJ85" s="99"/>
      <c r="NK85" s="99"/>
      <c r="NL85" s="99"/>
      <c r="NM85" s="99"/>
      <c r="NN85" s="99"/>
      <c r="NO85" s="99"/>
      <c r="NP85" s="99"/>
      <c r="NQ85" s="99"/>
      <c r="NR85" s="99"/>
      <c r="NS85" s="99"/>
      <c r="NT85" s="99"/>
      <c r="NU85" s="99"/>
      <c r="NV85" s="99"/>
      <c r="NW85" s="99"/>
      <c r="NX85" s="99"/>
      <c r="NY85" s="99"/>
      <c r="NZ85" s="99"/>
      <c r="OA85" s="99"/>
      <c r="OB85" s="99"/>
      <c r="OC85" s="99"/>
      <c r="OD85" s="99"/>
      <c r="OE85" s="99"/>
      <c r="OF85" s="99"/>
      <c r="OG85" s="99"/>
      <c r="OH85" s="99"/>
      <c r="OI85" s="99"/>
      <c r="OJ85" s="99"/>
      <c r="OK85" s="99"/>
      <c r="OL85" s="99"/>
      <c r="OM85" s="99"/>
      <c r="ON85" s="99"/>
      <c r="OO85" s="99"/>
      <c r="OP85" s="99"/>
      <c r="OQ85" s="99"/>
      <c r="OR85" s="99"/>
      <c r="OS85" s="99"/>
      <c r="OT85" s="99"/>
      <c r="OU85" s="99"/>
      <c r="OV85" s="99"/>
      <c r="OW85" s="99"/>
      <c r="OX85" s="99"/>
      <c r="OY85" s="99"/>
      <c r="OZ85" s="99"/>
      <c r="PA85" s="99"/>
      <c r="PB85" s="99"/>
      <c r="PC85" s="99"/>
      <c r="PD85" s="99"/>
      <c r="PE85" s="99"/>
      <c r="PF85" s="99"/>
      <c r="PG85" s="99"/>
      <c r="PH85" s="99"/>
      <c r="PI85" s="99"/>
      <c r="PJ85" s="99"/>
      <c r="PK85" s="99"/>
      <c r="PL85" s="99"/>
      <c r="PM85" s="99"/>
      <c r="PN85" s="99"/>
      <c r="PO85" s="99"/>
      <c r="PP85" s="99"/>
      <c r="PQ85" s="99"/>
      <c r="PR85" s="99"/>
      <c r="PS85" s="99"/>
      <c r="PT85" s="99"/>
      <c r="PU85" s="99"/>
      <c r="PV85" s="99"/>
      <c r="PW85" s="99"/>
      <c r="PX85" s="99"/>
      <c r="PY85" s="99"/>
      <c r="PZ85" s="99"/>
      <c r="QA85" s="99"/>
      <c r="QB85" s="99"/>
      <c r="QC85" s="99"/>
      <c r="QD85" s="99"/>
      <c r="QE85" s="99"/>
      <c r="QF85" s="99"/>
      <c r="QG85" s="99"/>
      <c r="QH85" s="99"/>
      <c r="QI85" s="99"/>
      <c r="QJ85" s="99"/>
      <c r="QK85" s="99"/>
      <c r="QL85" s="99"/>
      <c r="QM85" s="99"/>
      <c r="QN85" s="99"/>
      <c r="QO85" s="99"/>
      <c r="QP85" s="99"/>
      <c r="QQ85" s="99"/>
      <c r="QR85" s="99"/>
      <c r="QS85" s="99"/>
      <c r="QT85" s="99"/>
      <c r="QU85" s="99"/>
      <c r="QV85" s="99"/>
      <c r="QW85" s="99"/>
      <c r="QX85" s="99"/>
      <c r="QY85" s="99"/>
      <c r="QZ85" s="99"/>
      <c r="RA85" s="99"/>
      <c r="RB85" s="99"/>
      <c r="RC85" s="99"/>
      <c r="RD85" s="99"/>
      <c r="RE85" s="99"/>
      <c r="RF85" s="99"/>
      <c r="RG85" s="99"/>
      <c r="RH85" s="99"/>
      <c r="RI85" s="99"/>
      <c r="RJ85" s="99"/>
      <c r="RK85" s="99"/>
      <c r="RL85" s="99"/>
      <c r="RM85" s="99"/>
      <c r="RN85" s="99"/>
    </row>
    <row r="86" spans="1:483" s="60" customFormat="1" ht="11.25" x14ac:dyDescent="0.2">
      <c r="A86" s="121">
        <v>7</v>
      </c>
      <c r="B86" s="183"/>
      <c r="C86" s="161" t="s">
        <v>886</v>
      </c>
      <c r="D86" s="115">
        <f t="shared" si="344"/>
        <v>138000</v>
      </c>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v>138000</v>
      </c>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t="s">
        <v>912</v>
      </c>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102"/>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H86" s="99"/>
      <c r="HI86" s="99"/>
      <c r="HJ86" s="99"/>
      <c r="HK86" s="99"/>
      <c r="HL86" s="99"/>
      <c r="HM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c r="IM86" s="99"/>
      <c r="IN86" s="99"/>
      <c r="IO86" s="99"/>
      <c r="IP86" s="99"/>
      <c r="IQ86" s="99"/>
      <c r="IR86" s="99"/>
      <c r="IS86" s="99"/>
      <c r="IT86" s="99"/>
      <c r="IU86" s="99"/>
      <c r="IV86" s="99"/>
      <c r="IW86" s="99"/>
      <c r="IX86" s="99"/>
      <c r="IY86" s="99"/>
      <c r="IZ86" s="99"/>
      <c r="JA86" s="99"/>
      <c r="JB86" s="99"/>
      <c r="JC86" s="99"/>
      <c r="JD86" s="99"/>
      <c r="JE86" s="99"/>
      <c r="JF86" s="99"/>
      <c r="JG86" s="99"/>
      <c r="JH86" s="99"/>
      <c r="JI86" s="99"/>
      <c r="JJ86" s="99"/>
      <c r="JK86" s="99"/>
      <c r="JL86" s="99"/>
      <c r="JM86" s="99"/>
      <c r="JN86" s="99"/>
      <c r="JO86" s="99"/>
      <c r="JP86" s="99"/>
      <c r="JQ86" s="99"/>
      <c r="JR86" s="99"/>
      <c r="JS86" s="99"/>
      <c r="JT86" s="99"/>
      <c r="JU86" s="99"/>
      <c r="JV86" s="99"/>
      <c r="JW86" s="99"/>
      <c r="JX86" s="99"/>
      <c r="JY86" s="99"/>
      <c r="JZ86" s="99"/>
      <c r="KA86" s="99"/>
      <c r="KB86" s="99"/>
      <c r="KC86" s="99"/>
      <c r="KD86" s="99"/>
      <c r="KE86" s="99"/>
      <c r="KF86" s="99"/>
      <c r="KG86" s="99"/>
      <c r="KH86" s="99"/>
      <c r="KI86" s="99"/>
      <c r="KJ86" s="99"/>
      <c r="KK86" s="99"/>
      <c r="KL86" s="99"/>
      <c r="KM86" s="99"/>
      <c r="KN86" s="99"/>
      <c r="KO86" s="99"/>
      <c r="KP86" s="99"/>
      <c r="KQ86" s="99"/>
      <c r="KR86" s="99"/>
      <c r="KS86" s="99"/>
      <c r="KT86" s="99"/>
      <c r="KU86" s="99"/>
      <c r="KV86" s="99"/>
      <c r="KW86" s="99"/>
      <c r="KX86" s="99"/>
      <c r="KY86" s="99"/>
      <c r="KZ86" s="99"/>
      <c r="LA86" s="99"/>
      <c r="LB86" s="99"/>
      <c r="LC86" s="99"/>
      <c r="LD86" s="99"/>
      <c r="LE86" s="99"/>
      <c r="LF86" s="99"/>
      <c r="LG86" s="99"/>
      <c r="LH86" s="99"/>
      <c r="LI86" s="99"/>
      <c r="LJ86" s="99"/>
      <c r="LK86" s="99"/>
      <c r="LL86" s="99"/>
      <c r="LM86" s="99"/>
      <c r="LN86" s="99"/>
      <c r="LO86" s="99"/>
      <c r="LP86" s="99"/>
      <c r="LQ86" s="99"/>
      <c r="LR86" s="99"/>
      <c r="LS86" s="99"/>
      <c r="LT86" s="99"/>
      <c r="LU86" s="99"/>
      <c r="LV86" s="99"/>
      <c r="LW86" s="99"/>
      <c r="LX86" s="99"/>
      <c r="LY86" s="99"/>
      <c r="LZ86" s="99"/>
      <c r="MA86" s="99"/>
      <c r="MB86" s="99"/>
      <c r="MC86" s="99"/>
      <c r="MD86" s="99"/>
      <c r="ME86" s="99"/>
      <c r="MF86" s="99"/>
      <c r="MG86" s="99"/>
      <c r="MH86" s="99"/>
      <c r="MI86" s="99"/>
      <c r="MJ86" s="99"/>
      <c r="MK86" s="99"/>
      <c r="ML86" s="99"/>
      <c r="MM86" s="99"/>
      <c r="MN86" s="99"/>
      <c r="MO86" s="99"/>
      <c r="MP86" s="99"/>
      <c r="MQ86" s="99"/>
      <c r="MR86" s="99"/>
      <c r="MS86" s="99"/>
      <c r="MT86" s="99"/>
      <c r="MU86" s="99"/>
      <c r="MV86" s="99"/>
      <c r="MW86" s="99"/>
      <c r="MX86" s="99"/>
      <c r="MY86" s="99"/>
      <c r="MZ86" s="99"/>
      <c r="NA86" s="99"/>
      <c r="NB86" s="99"/>
      <c r="NC86" s="99"/>
      <c r="ND86" s="99"/>
      <c r="NE86" s="99"/>
      <c r="NF86" s="99"/>
      <c r="NG86" s="99"/>
      <c r="NH86" s="99"/>
      <c r="NI86" s="99"/>
      <c r="NJ86" s="99"/>
      <c r="NK86" s="99"/>
      <c r="NL86" s="99"/>
      <c r="NM86" s="99"/>
      <c r="NN86" s="99"/>
      <c r="NO86" s="99"/>
      <c r="NP86" s="99"/>
      <c r="NQ86" s="99"/>
      <c r="NR86" s="99"/>
      <c r="NS86" s="99"/>
      <c r="NT86" s="99"/>
      <c r="NU86" s="99"/>
      <c r="NV86" s="99"/>
      <c r="NW86" s="99"/>
      <c r="NX86" s="99"/>
      <c r="NY86" s="99"/>
      <c r="NZ86" s="99"/>
      <c r="OA86" s="99"/>
      <c r="OB86" s="99"/>
      <c r="OC86" s="99"/>
      <c r="OD86" s="99"/>
      <c r="OE86" s="99"/>
      <c r="OF86" s="99"/>
      <c r="OG86" s="99"/>
      <c r="OH86" s="99"/>
      <c r="OI86" s="99"/>
      <c r="OJ86" s="99"/>
      <c r="OK86" s="99"/>
      <c r="OL86" s="99"/>
      <c r="OM86" s="99"/>
      <c r="ON86" s="99"/>
      <c r="OO86" s="99"/>
      <c r="OP86" s="99"/>
      <c r="OQ86" s="99"/>
      <c r="OR86" s="99"/>
      <c r="OS86" s="99"/>
      <c r="OT86" s="99"/>
      <c r="OU86" s="99"/>
      <c r="OV86" s="99"/>
      <c r="OW86" s="99"/>
      <c r="OX86" s="99"/>
      <c r="OY86" s="99"/>
      <c r="OZ86" s="99"/>
      <c r="PA86" s="99"/>
      <c r="PB86" s="99"/>
      <c r="PC86" s="99"/>
      <c r="PD86" s="99"/>
      <c r="PE86" s="99"/>
      <c r="PF86" s="99"/>
      <c r="PG86" s="99"/>
      <c r="PH86" s="99"/>
      <c r="PI86" s="99"/>
      <c r="PJ86" s="99"/>
      <c r="PK86" s="99"/>
      <c r="PL86" s="99"/>
      <c r="PM86" s="99"/>
      <c r="PN86" s="99"/>
      <c r="PO86" s="99"/>
      <c r="PP86" s="99"/>
      <c r="PQ86" s="99"/>
      <c r="PR86" s="99"/>
      <c r="PS86" s="99"/>
      <c r="PT86" s="99"/>
      <c r="PU86" s="99"/>
      <c r="PV86" s="99"/>
      <c r="PW86" s="99"/>
      <c r="PX86" s="99"/>
      <c r="PY86" s="99"/>
      <c r="PZ86" s="99"/>
      <c r="QA86" s="99"/>
      <c r="QB86" s="99"/>
      <c r="QC86" s="99"/>
      <c r="QD86" s="99"/>
      <c r="QE86" s="99"/>
      <c r="QF86" s="99"/>
      <c r="QG86" s="99"/>
      <c r="QH86" s="99"/>
      <c r="QI86" s="99"/>
      <c r="QJ86" s="99"/>
      <c r="QK86" s="99"/>
      <c r="QL86" s="99"/>
      <c r="QM86" s="99"/>
      <c r="QN86" s="99"/>
      <c r="QO86" s="99"/>
      <c r="QP86" s="99"/>
      <c r="QQ86" s="99"/>
      <c r="QR86" s="99"/>
      <c r="QS86" s="99"/>
      <c r="QT86" s="99"/>
      <c r="QU86" s="99"/>
      <c r="QV86" s="99"/>
      <c r="QW86" s="99"/>
      <c r="QX86" s="99"/>
      <c r="QY86" s="99"/>
      <c r="QZ86" s="99"/>
      <c r="RA86" s="99"/>
      <c r="RB86" s="99"/>
      <c r="RC86" s="99"/>
      <c r="RD86" s="99"/>
      <c r="RE86" s="99"/>
      <c r="RF86" s="99"/>
      <c r="RG86" s="99"/>
      <c r="RH86" s="99"/>
      <c r="RI86" s="99"/>
      <c r="RJ86" s="99"/>
      <c r="RK86" s="99"/>
      <c r="RL86" s="99"/>
      <c r="RM86" s="99"/>
      <c r="RN86" s="99"/>
    </row>
    <row r="87" spans="1:483" s="60" customFormat="1" ht="10.5" customHeight="1" x14ac:dyDescent="0.2">
      <c r="A87" s="121">
        <v>8</v>
      </c>
      <c r="B87" s="183" t="s">
        <v>821</v>
      </c>
      <c r="C87" s="161" t="s">
        <v>885</v>
      </c>
      <c r="D87" s="115">
        <f t="shared" si="344"/>
        <v>8300</v>
      </c>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v>8000</v>
      </c>
      <c r="BF87" s="114"/>
      <c r="BG87" s="114"/>
      <c r="BH87" s="114"/>
      <c r="BI87" s="114"/>
      <c r="BJ87" s="114"/>
      <c r="BK87" s="114" t="s">
        <v>960</v>
      </c>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102"/>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H87" s="99"/>
      <c r="HI87" s="99"/>
      <c r="HJ87" s="99"/>
      <c r="HK87" s="99"/>
      <c r="HL87" s="99"/>
      <c r="HM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c r="IM87" s="99"/>
      <c r="IN87" s="99"/>
      <c r="IO87" s="99"/>
      <c r="IP87" s="99"/>
      <c r="IQ87" s="99"/>
      <c r="IR87" s="99"/>
      <c r="IS87" s="99"/>
      <c r="IT87" s="99"/>
      <c r="IU87" s="99"/>
      <c r="IV87" s="99"/>
      <c r="IW87" s="99"/>
      <c r="IX87" s="99"/>
      <c r="IY87" s="99"/>
      <c r="IZ87" s="99"/>
      <c r="JA87" s="99"/>
      <c r="JB87" s="99"/>
      <c r="JC87" s="99"/>
      <c r="JD87" s="99"/>
      <c r="JE87" s="99"/>
      <c r="JF87" s="99"/>
      <c r="JG87" s="99"/>
      <c r="JH87" s="99"/>
      <c r="JI87" s="99"/>
      <c r="JJ87" s="99"/>
      <c r="JK87" s="99"/>
      <c r="JL87" s="99"/>
      <c r="JM87" s="99"/>
      <c r="JN87" s="99"/>
      <c r="JO87" s="99"/>
      <c r="JP87" s="99"/>
      <c r="JQ87" s="99"/>
      <c r="JR87" s="99"/>
      <c r="JS87" s="99"/>
      <c r="JT87" s="99"/>
      <c r="JU87" s="99"/>
      <c r="JV87" s="99"/>
      <c r="JW87" s="99"/>
      <c r="JX87" s="99"/>
      <c r="JY87" s="99"/>
      <c r="JZ87" s="99"/>
      <c r="KA87" s="99"/>
      <c r="KB87" s="99"/>
      <c r="KC87" s="99"/>
      <c r="KD87" s="99"/>
      <c r="KE87" s="99"/>
      <c r="KF87" s="99"/>
      <c r="KG87" s="99"/>
      <c r="KH87" s="99"/>
      <c r="KI87" s="99"/>
      <c r="KJ87" s="99"/>
      <c r="KK87" s="99"/>
      <c r="KL87" s="99"/>
      <c r="KM87" s="99"/>
      <c r="KN87" s="99"/>
      <c r="KO87" s="99"/>
      <c r="KP87" s="99"/>
      <c r="KQ87" s="99"/>
      <c r="KR87" s="99"/>
      <c r="KS87" s="99"/>
      <c r="KT87" s="99"/>
      <c r="KU87" s="99"/>
      <c r="KV87" s="99"/>
      <c r="KW87" s="99"/>
      <c r="KX87" s="99"/>
      <c r="KY87" s="99"/>
      <c r="KZ87" s="99"/>
      <c r="LA87" s="99"/>
      <c r="LB87" s="99"/>
      <c r="LC87" s="99"/>
      <c r="LD87" s="99"/>
      <c r="LE87" s="99"/>
      <c r="LF87" s="99"/>
      <c r="LG87" s="99"/>
      <c r="LH87" s="99"/>
      <c r="LI87" s="99"/>
      <c r="LJ87" s="99"/>
      <c r="LK87" s="99"/>
      <c r="LL87" s="99"/>
      <c r="LM87" s="99"/>
      <c r="LN87" s="99"/>
      <c r="LO87" s="99"/>
      <c r="LP87" s="99"/>
      <c r="LQ87" s="99"/>
      <c r="LR87" s="99"/>
      <c r="LS87" s="99"/>
      <c r="LT87" s="99"/>
      <c r="LU87" s="99"/>
      <c r="LV87" s="99"/>
      <c r="LW87" s="99"/>
      <c r="LX87" s="99"/>
      <c r="LY87" s="99"/>
      <c r="LZ87" s="99"/>
      <c r="MA87" s="99"/>
      <c r="MB87" s="99"/>
      <c r="MC87" s="99"/>
      <c r="MD87" s="99"/>
      <c r="ME87" s="99"/>
      <c r="MF87" s="99"/>
      <c r="MG87" s="99"/>
      <c r="MH87" s="99"/>
      <c r="MI87" s="99"/>
      <c r="MJ87" s="99"/>
      <c r="MK87" s="99"/>
      <c r="ML87" s="99"/>
      <c r="MM87" s="99"/>
      <c r="MN87" s="99"/>
      <c r="MO87" s="99"/>
      <c r="MP87" s="99"/>
      <c r="MQ87" s="99"/>
      <c r="MR87" s="99"/>
      <c r="MS87" s="99"/>
      <c r="MT87" s="99"/>
      <c r="MU87" s="99"/>
      <c r="MV87" s="99"/>
      <c r="MW87" s="99"/>
      <c r="MX87" s="99"/>
      <c r="MY87" s="99"/>
      <c r="MZ87" s="99"/>
      <c r="NA87" s="99"/>
      <c r="NB87" s="99"/>
      <c r="NC87" s="99"/>
      <c r="ND87" s="99"/>
      <c r="NE87" s="99"/>
      <c r="NF87" s="99"/>
      <c r="NG87" s="99"/>
      <c r="NH87" s="99"/>
      <c r="NI87" s="99"/>
      <c r="NJ87" s="99"/>
      <c r="NK87" s="99"/>
      <c r="NL87" s="99"/>
      <c r="NM87" s="99"/>
      <c r="NN87" s="99"/>
      <c r="NO87" s="99"/>
      <c r="NP87" s="99"/>
      <c r="NQ87" s="99"/>
      <c r="NR87" s="99"/>
      <c r="NS87" s="99"/>
      <c r="NT87" s="99"/>
      <c r="NU87" s="99"/>
      <c r="NV87" s="99"/>
      <c r="NW87" s="99"/>
      <c r="NX87" s="99"/>
      <c r="NY87" s="99"/>
      <c r="NZ87" s="99"/>
      <c r="OA87" s="99"/>
      <c r="OB87" s="99"/>
      <c r="OC87" s="99"/>
      <c r="OD87" s="99"/>
      <c r="OE87" s="99"/>
      <c r="OF87" s="99"/>
      <c r="OG87" s="99"/>
      <c r="OH87" s="99"/>
      <c r="OI87" s="99"/>
      <c r="OJ87" s="99"/>
      <c r="OK87" s="99"/>
      <c r="OL87" s="99">
        <v>300</v>
      </c>
      <c r="OM87" s="99"/>
      <c r="ON87" s="99"/>
      <c r="OO87" s="99"/>
      <c r="OP87" s="99"/>
      <c r="OQ87" s="99"/>
      <c r="OR87" s="99"/>
      <c r="OS87" s="99"/>
      <c r="OT87" s="99"/>
      <c r="OU87" s="99"/>
      <c r="OV87" s="99"/>
      <c r="OW87" s="99"/>
      <c r="OX87" s="99"/>
      <c r="OY87" s="99"/>
      <c r="OZ87" s="99"/>
      <c r="PA87" s="99"/>
      <c r="PB87" s="99"/>
      <c r="PC87" s="99"/>
      <c r="PD87" s="99"/>
      <c r="PE87" s="99"/>
      <c r="PF87" s="99"/>
      <c r="PG87" s="99"/>
      <c r="PH87" s="99"/>
      <c r="PI87" s="99"/>
      <c r="PJ87" s="99"/>
      <c r="PK87" s="99"/>
      <c r="PL87" s="99"/>
      <c r="PM87" s="99"/>
      <c r="PN87" s="99"/>
      <c r="PO87" s="99"/>
      <c r="PP87" s="99"/>
      <c r="PQ87" s="99"/>
      <c r="PR87" s="99"/>
      <c r="PS87" s="99"/>
      <c r="PT87" s="99"/>
      <c r="PU87" s="99"/>
      <c r="PV87" s="99"/>
      <c r="PW87" s="99"/>
      <c r="PX87" s="99"/>
      <c r="PY87" s="99"/>
      <c r="PZ87" s="99"/>
      <c r="QA87" s="99"/>
      <c r="QB87" s="99"/>
      <c r="QC87" s="99"/>
      <c r="QD87" s="99"/>
      <c r="QE87" s="99"/>
      <c r="QF87" s="99"/>
      <c r="QG87" s="99"/>
      <c r="QH87" s="99"/>
      <c r="QI87" s="99"/>
      <c r="QJ87" s="99"/>
      <c r="QK87" s="99"/>
      <c r="QL87" s="99"/>
      <c r="QM87" s="99"/>
      <c r="QN87" s="99"/>
      <c r="QO87" s="99"/>
      <c r="QP87" s="99"/>
      <c r="QQ87" s="99"/>
      <c r="QR87" s="99"/>
      <c r="QS87" s="99"/>
      <c r="QT87" s="99"/>
      <c r="QU87" s="99"/>
      <c r="QV87" s="99"/>
      <c r="QW87" s="99"/>
      <c r="QX87" s="99"/>
      <c r="QY87" s="99"/>
      <c r="QZ87" s="99"/>
      <c r="RA87" s="99"/>
      <c r="RB87" s="99"/>
      <c r="RC87" s="99"/>
      <c r="RD87" s="99"/>
      <c r="RE87" s="99"/>
      <c r="RF87" s="99"/>
      <c r="RG87" s="99"/>
      <c r="RH87" s="99"/>
      <c r="RI87" s="99"/>
      <c r="RJ87" s="99"/>
      <c r="RK87" s="99"/>
      <c r="RL87" s="99"/>
      <c r="RM87" s="99"/>
      <c r="RN87" s="99"/>
    </row>
    <row r="88" spans="1:483" s="60" customFormat="1" ht="11.25" x14ac:dyDescent="0.2">
      <c r="A88" s="121">
        <v>9</v>
      </c>
      <c r="B88" s="183"/>
      <c r="C88" s="161" t="s">
        <v>886</v>
      </c>
      <c r="D88" s="115">
        <f t="shared" si="344"/>
        <v>25</v>
      </c>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t="s">
        <v>961</v>
      </c>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102"/>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H88" s="99"/>
      <c r="HI88" s="99"/>
      <c r="HJ88" s="99"/>
      <c r="HK88" s="99"/>
      <c r="HL88" s="99"/>
      <c r="HM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99"/>
      <c r="JH88" s="99"/>
      <c r="JI88" s="99"/>
      <c r="JJ88" s="99"/>
      <c r="JK88" s="99"/>
      <c r="JL88" s="99"/>
      <c r="JM88" s="99"/>
      <c r="JN88" s="99"/>
      <c r="JO88" s="99"/>
      <c r="JP88" s="99"/>
      <c r="JQ88" s="99"/>
      <c r="JR88" s="99"/>
      <c r="JS88" s="99"/>
      <c r="JT88" s="99"/>
      <c r="JU88" s="99"/>
      <c r="JV88" s="99"/>
      <c r="JW88" s="99"/>
      <c r="JX88" s="99"/>
      <c r="JY88" s="99"/>
      <c r="JZ88" s="99"/>
      <c r="KA88" s="99"/>
      <c r="KB88" s="99"/>
      <c r="KC88" s="99"/>
      <c r="KD88" s="99"/>
      <c r="KE88" s="99"/>
      <c r="KF88" s="99"/>
      <c r="KG88" s="99"/>
      <c r="KH88" s="99"/>
      <c r="KI88" s="99"/>
      <c r="KJ88" s="99"/>
      <c r="KK88" s="99"/>
      <c r="KL88" s="99"/>
      <c r="KM88" s="99"/>
      <c r="KN88" s="99"/>
      <c r="KO88" s="99"/>
      <c r="KP88" s="99"/>
      <c r="KQ88" s="99"/>
      <c r="KR88" s="99"/>
      <c r="KS88" s="99"/>
      <c r="KT88" s="99"/>
      <c r="KU88" s="99"/>
      <c r="KV88" s="99"/>
      <c r="KW88" s="99"/>
      <c r="KX88" s="99"/>
      <c r="KY88" s="99"/>
      <c r="KZ88" s="99"/>
      <c r="LA88" s="99"/>
      <c r="LB88" s="99"/>
      <c r="LC88" s="99"/>
      <c r="LD88" s="99"/>
      <c r="LE88" s="99"/>
      <c r="LF88" s="99"/>
      <c r="LG88" s="99"/>
      <c r="LH88" s="99"/>
      <c r="LI88" s="99"/>
      <c r="LJ88" s="99"/>
      <c r="LK88" s="99"/>
      <c r="LL88" s="99"/>
      <c r="LM88" s="99"/>
      <c r="LN88" s="99"/>
      <c r="LO88" s="99"/>
      <c r="LP88" s="99"/>
      <c r="LQ88" s="99"/>
      <c r="LR88" s="99"/>
      <c r="LS88" s="99"/>
      <c r="LT88" s="99"/>
      <c r="LU88" s="99"/>
      <c r="LV88" s="99"/>
      <c r="LW88" s="99"/>
      <c r="LX88" s="99"/>
      <c r="LY88" s="99"/>
      <c r="LZ88" s="99"/>
      <c r="MA88" s="99"/>
      <c r="MB88" s="99"/>
      <c r="MC88" s="99"/>
      <c r="MD88" s="99"/>
      <c r="ME88" s="99"/>
      <c r="MF88" s="99"/>
      <c r="MG88" s="99"/>
      <c r="MH88" s="99"/>
      <c r="MI88" s="99"/>
      <c r="MJ88" s="99"/>
      <c r="MK88" s="99"/>
      <c r="ML88" s="99"/>
      <c r="MM88" s="99"/>
      <c r="MN88" s="99"/>
      <c r="MO88" s="99"/>
      <c r="MP88" s="99"/>
      <c r="MQ88" s="99"/>
      <c r="MR88" s="99"/>
      <c r="MS88" s="99"/>
      <c r="MT88" s="99"/>
      <c r="MU88" s="99"/>
      <c r="MV88" s="99"/>
      <c r="MW88" s="99"/>
      <c r="MX88" s="99"/>
      <c r="MY88" s="99"/>
      <c r="MZ88" s="99"/>
      <c r="NA88" s="99"/>
      <c r="NB88" s="99"/>
      <c r="NC88" s="99"/>
      <c r="ND88" s="99"/>
      <c r="NE88" s="99"/>
      <c r="NF88" s="99"/>
      <c r="NG88" s="99"/>
      <c r="NH88" s="99"/>
      <c r="NI88" s="99"/>
      <c r="NJ88" s="99"/>
      <c r="NK88" s="99"/>
      <c r="NL88" s="99"/>
      <c r="NM88" s="99"/>
      <c r="NN88" s="99"/>
      <c r="NO88" s="99"/>
      <c r="NP88" s="99"/>
      <c r="NQ88" s="99"/>
      <c r="NR88" s="99"/>
      <c r="NS88" s="99"/>
      <c r="NT88" s="99"/>
      <c r="NU88" s="99"/>
      <c r="NV88" s="99"/>
      <c r="NW88" s="99"/>
      <c r="NX88" s="99"/>
      <c r="NY88" s="99"/>
      <c r="NZ88" s="99"/>
      <c r="OA88" s="99"/>
      <c r="OB88" s="99"/>
      <c r="OC88" s="99"/>
      <c r="OD88" s="99"/>
      <c r="OE88" s="99"/>
      <c r="OF88" s="99"/>
      <c r="OG88" s="99"/>
      <c r="OH88" s="99"/>
      <c r="OI88" s="99"/>
      <c r="OJ88" s="99"/>
      <c r="OK88" s="99"/>
      <c r="OL88" s="99">
        <v>25</v>
      </c>
      <c r="OM88" s="99"/>
      <c r="ON88" s="99"/>
      <c r="OO88" s="99"/>
      <c r="OP88" s="99"/>
      <c r="OQ88" s="99"/>
      <c r="OR88" s="99"/>
      <c r="OS88" s="99"/>
      <c r="OT88" s="99"/>
      <c r="OU88" s="99"/>
      <c r="OV88" s="99"/>
      <c r="OW88" s="99"/>
      <c r="OX88" s="99"/>
      <c r="OY88" s="99"/>
      <c r="OZ88" s="99"/>
      <c r="PA88" s="99"/>
      <c r="PB88" s="99"/>
      <c r="PC88" s="99"/>
      <c r="PD88" s="99"/>
      <c r="PE88" s="99"/>
      <c r="PF88" s="99"/>
      <c r="PG88" s="99"/>
      <c r="PH88" s="99"/>
      <c r="PI88" s="99"/>
      <c r="PJ88" s="99"/>
      <c r="PK88" s="99"/>
      <c r="PL88" s="99"/>
      <c r="PM88" s="99"/>
      <c r="PN88" s="99"/>
      <c r="PO88" s="99"/>
      <c r="PP88" s="99"/>
      <c r="PQ88" s="99"/>
      <c r="PR88" s="99"/>
      <c r="PS88" s="99"/>
      <c r="PT88" s="99"/>
      <c r="PU88" s="99"/>
      <c r="PV88" s="99"/>
      <c r="PW88" s="99"/>
      <c r="PX88" s="99"/>
      <c r="PY88" s="99"/>
      <c r="PZ88" s="99"/>
      <c r="QA88" s="99"/>
      <c r="QB88" s="99"/>
      <c r="QC88" s="99"/>
      <c r="QD88" s="99"/>
      <c r="QE88" s="99"/>
      <c r="QF88" s="99"/>
      <c r="QG88" s="99"/>
      <c r="QH88" s="99"/>
      <c r="QI88" s="99"/>
      <c r="QJ88" s="99"/>
      <c r="QK88" s="99"/>
      <c r="QL88" s="99"/>
      <c r="QM88" s="99"/>
      <c r="QN88" s="99"/>
      <c r="QO88" s="99"/>
      <c r="QP88" s="99"/>
      <c r="QQ88" s="99"/>
      <c r="QR88" s="99"/>
      <c r="QS88" s="99"/>
      <c r="QT88" s="99"/>
      <c r="QU88" s="99"/>
      <c r="QV88" s="99"/>
      <c r="QW88" s="99"/>
      <c r="QX88" s="99"/>
      <c r="QY88" s="99"/>
      <c r="QZ88" s="99"/>
      <c r="RA88" s="99"/>
      <c r="RB88" s="99"/>
      <c r="RC88" s="99"/>
      <c r="RD88" s="99"/>
      <c r="RE88" s="99"/>
      <c r="RF88" s="99"/>
      <c r="RG88" s="99"/>
      <c r="RH88" s="99"/>
      <c r="RI88" s="99"/>
      <c r="RJ88" s="99"/>
      <c r="RK88" s="99"/>
      <c r="RL88" s="99"/>
      <c r="RM88" s="99"/>
      <c r="RN88" s="99"/>
    </row>
    <row r="89" spans="1:483" s="60" customFormat="1" ht="11.25" x14ac:dyDescent="0.2">
      <c r="A89" s="121">
        <v>10</v>
      </c>
      <c r="B89" s="108" t="s">
        <v>822</v>
      </c>
      <c r="C89" s="161" t="s">
        <v>885</v>
      </c>
      <c r="D89" s="115">
        <f t="shared" si="344"/>
        <v>17936.2</v>
      </c>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v>15936.2</v>
      </c>
      <c r="BF89" s="114"/>
      <c r="BG89" s="114"/>
      <c r="BH89" s="114"/>
      <c r="BI89" s="114"/>
      <c r="BJ89" s="114"/>
      <c r="BK89" s="114" t="s">
        <v>962</v>
      </c>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102"/>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H89" s="99"/>
      <c r="HI89" s="99"/>
      <c r="HJ89" s="99"/>
      <c r="HK89" s="99"/>
      <c r="HL89" s="99"/>
      <c r="HM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c r="IW89" s="99"/>
      <c r="IX89" s="99"/>
      <c r="IY89" s="99"/>
      <c r="IZ89" s="99"/>
      <c r="JA89" s="99"/>
      <c r="JB89" s="99"/>
      <c r="JC89" s="99"/>
      <c r="JD89" s="99"/>
      <c r="JE89" s="99"/>
      <c r="JF89" s="99"/>
      <c r="JG89" s="99"/>
      <c r="JH89" s="99"/>
      <c r="JI89" s="99"/>
      <c r="JJ89" s="99"/>
      <c r="JK89" s="99"/>
      <c r="JL89" s="99"/>
      <c r="JM89" s="99"/>
      <c r="JN89" s="99"/>
      <c r="JO89" s="99"/>
      <c r="JP89" s="99"/>
      <c r="JQ89" s="99"/>
      <c r="JR89" s="99"/>
      <c r="JS89" s="99"/>
      <c r="JT89" s="99"/>
      <c r="JU89" s="99"/>
      <c r="JV89" s="99"/>
      <c r="JW89" s="99"/>
      <c r="JX89" s="99"/>
      <c r="JY89" s="99"/>
      <c r="JZ89" s="99"/>
      <c r="KA89" s="99"/>
      <c r="KB89" s="99"/>
      <c r="KC89" s="99"/>
      <c r="KD89" s="99"/>
      <c r="KE89" s="99"/>
      <c r="KF89" s="99"/>
      <c r="KG89" s="99"/>
      <c r="KH89" s="99"/>
      <c r="KI89" s="99"/>
      <c r="KJ89" s="99"/>
      <c r="KK89" s="99"/>
      <c r="KL89" s="99"/>
      <c r="KM89" s="99"/>
      <c r="KN89" s="99"/>
      <c r="KO89" s="99"/>
      <c r="KP89" s="99"/>
      <c r="KQ89" s="99"/>
      <c r="KR89" s="99"/>
      <c r="KS89" s="99"/>
      <c r="KT89" s="99"/>
      <c r="KU89" s="99"/>
      <c r="KV89" s="99"/>
      <c r="KW89" s="99"/>
      <c r="KX89" s="99"/>
      <c r="KY89" s="99"/>
      <c r="KZ89" s="99"/>
      <c r="LA89" s="99"/>
      <c r="LB89" s="99"/>
      <c r="LC89" s="99"/>
      <c r="LD89" s="99"/>
      <c r="LE89" s="99"/>
      <c r="LF89" s="99"/>
      <c r="LG89" s="99"/>
      <c r="LH89" s="99"/>
      <c r="LI89" s="99"/>
      <c r="LJ89" s="99"/>
      <c r="LK89" s="99"/>
      <c r="LL89" s="99"/>
      <c r="LM89" s="99"/>
      <c r="LN89" s="99"/>
      <c r="LO89" s="99"/>
      <c r="LP89" s="99"/>
      <c r="LQ89" s="99"/>
      <c r="LR89" s="99"/>
      <c r="LS89" s="99"/>
      <c r="LT89" s="99"/>
      <c r="LU89" s="99"/>
      <c r="LV89" s="99"/>
      <c r="LW89" s="99"/>
      <c r="LX89" s="99"/>
      <c r="LY89" s="99"/>
      <c r="LZ89" s="99"/>
      <c r="MA89" s="99"/>
      <c r="MB89" s="99"/>
      <c r="MC89" s="99"/>
      <c r="MD89" s="99"/>
      <c r="ME89" s="99"/>
      <c r="MF89" s="99"/>
      <c r="MG89" s="99"/>
      <c r="MH89" s="99"/>
      <c r="MI89" s="99"/>
      <c r="MJ89" s="99"/>
      <c r="MK89" s="99"/>
      <c r="ML89" s="99"/>
      <c r="MM89" s="99"/>
      <c r="MN89" s="99"/>
      <c r="MO89" s="99"/>
      <c r="MP89" s="99"/>
      <c r="MQ89" s="99"/>
      <c r="MR89" s="99"/>
      <c r="MS89" s="99"/>
      <c r="MT89" s="99"/>
      <c r="MU89" s="99"/>
      <c r="MV89" s="99"/>
      <c r="MW89" s="99"/>
      <c r="MX89" s="99"/>
      <c r="MY89" s="99"/>
      <c r="MZ89" s="99"/>
      <c r="NA89" s="99"/>
      <c r="NB89" s="99"/>
      <c r="NC89" s="99"/>
      <c r="ND89" s="99"/>
      <c r="NE89" s="99"/>
      <c r="NF89" s="99"/>
      <c r="NG89" s="99"/>
      <c r="NH89" s="99"/>
      <c r="NI89" s="99"/>
      <c r="NJ89" s="99"/>
      <c r="NK89" s="99"/>
      <c r="NL89" s="99"/>
      <c r="NM89" s="99"/>
      <c r="NN89" s="99"/>
      <c r="NO89" s="99"/>
      <c r="NP89" s="99"/>
      <c r="NQ89" s="99"/>
      <c r="NR89" s="99"/>
      <c r="NS89" s="99"/>
      <c r="NT89" s="99"/>
      <c r="NU89" s="99"/>
      <c r="NV89" s="99"/>
      <c r="NW89" s="99"/>
      <c r="NX89" s="99"/>
      <c r="NY89" s="99"/>
      <c r="NZ89" s="99"/>
      <c r="OA89" s="99"/>
      <c r="OB89" s="99"/>
      <c r="OC89" s="99"/>
      <c r="OD89" s="99"/>
      <c r="OE89" s="99"/>
      <c r="OF89" s="99"/>
      <c r="OG89" s="99"/>
      <c r="OH89" s="99"/>
      <c r="OI89" s="99"/>
      <c r="OJ89" s="99"/>
      <c r="OK89" s="99"/>
      <c r="OL89" s="99"/>
      <c r="OM89" s="99"/>
      <c r="ON89" s="99"/>
      <c r="OO89" s="99"/>
      <c r="OP89" s="99"/>
      <c r="OQ89" s="99"/>
      <c r="OR89" s="99"/>
      <c r="OS89" s="99"/>
      <c r="OT89" s="99"/>
      <c r="OU89" s="99"/>
      <c r="OV89" s="99"/>
      <c r="OW89" s="99"/>
      <c r="OX89" s="99"/>
      <c r="OY89" s="99"/>
      <c r="OZ89" s="99"/>
      <c r="PA89" s="99"/>
      <c r="PB89" s="99"/>
      <c r="PC89" s="99"/>
      <c r="PD89" s="99"/>
      <c r="PE89" s="99"/>
      <c r="PF89" s="99"/>
      <c r="PG89" s="99"/>
      <c r="PH89" s="99"/>
      <c r="PI89" s="99"/>
      <c r="PJ89" s="99"/>
      <c r="PK89" s="99"/>
      <c r="PL89" s="99"/>
      <c r="PM89" s="99"/>
      <c r="PN89" s="99"/>
      <c r="PO89" s="99"/>
      <c r="PP89" s="99"/>
      <c r="PQ89" s="99"/>
      <c r="PR89" s="99"/>
      <c r="PS89" s="99"/>
      <c r="PT89" s="99"/>
      <c r="PU89" s="99"/>
      <c r="PV89" s="99"/>
      <c r="PW89" s="99"/>
      <c r="PX89" s="99"/>
      <c r="PY89" s="99"/>
      <c r="PZ89" s="99"/>
      <c r="QA89" s="99"/>
      <c r="QB89" s="99"/>
      <c r="QC89" s="99"/>
      <c r="QD89" s="99"/>
      <c r="QE89" s="99"/>
      <c r="QF89" s="99"/>
      <c r="QG89" s="99"/>
      <c r="QH89" s="99"/>
      <c r="QI89" s="99"/>
      <c r="QJ89" s="99"/>
      <c r="QK89" s="99"/>
      <c r="QL89" s="99"/>
      <c r="QM89" s="99"/>
      <c r="QN89" s="99"/>
      <c r="QO89" s="99"/>
      <c r="QP89" s="99">
        <v>2000</v>
      </c>
      <c r="QQ89" s="99"/>
      <c r="QR89" s="99"/>
      <c r="QS89" s="99"/>
      <c r="QT89" s="99"/>
      <c r="QU89" s="99"/>
      <c r="QV89" s="99"/>
      <c r="QW89" s="99"/>
      <c r="QX89" s="99"/>
      <c r="QY89" s="99"/>
      <c r="QZ89" s="99"/>
      <c r="RA89" s="99"/>
      <c r="RB89" s="99"/>
      <c r="RC89" s="99"/>
      <c r="RD89" s="99"/>
      <c r="RE89" s="99"/>
      <c r="RF89" s="99"/>
      <c r="RG89" s="99"/>
      <c r="RH89" s="99"/>
      <c r="RI89" s="99"/>
      <c r="RJ89" s="99"/>
      <c r="RK89" s="99"/>
      <c r="RL89" s="99"/>
      <c r="RM89" s="99"/>
      <c r="RN89" s="99"/>
    </row>
    <row r="90" spans="1:483" s="60" customFormat="1" ht="11.25" x14ac:dyDescent="0.2">
      <c r="A90" s="121">
        <v>11</v>
      </c>
      <c r="B90" s="108"/>
      <c r="C90" s="161" t="s">
        <v>886</v>
      </c>
      <c r="D90" s="115">
        <f t="shared" si="344"/>
        <v>0</v>
      </c>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t="s">
        <v>912</v>
      </c>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102"/>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H90" s="99"/>
      <c r="HI90" s="99"/>
      <c r="HJ90" s="99"/>
      <c r="HK90" s="99"/>
      <c r="HL90" s="99"/>
      <c r="HM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c r="IM90" s="99"/>
      <c r="IN90" s="99"/>
      <c r="IO90" s="99"/>
      <c r="IP90" s="99"/>
      <c r="IQ90" s="99"/>
      <c r="IR90" s="99"/>
      <c r="IS90" s="99"/>
      <c r="IT90" s="99"/>
      <c r="IU90" s="99"/>
      <c r="IV90" s="99"/>
      <c r="IW90" s="99"/>
      <c r="IX90" s="99"/>
      <c r="IY90" s="99"/>
      <c r="IZ90" s="99"/>
      <c r="JA90" s="99"/>
      <c r="JB90" s="99"/>
      <c r="JC90" s="99"/>
      <c r="JD90" s="99"/>
      <c r="JE90" s="99"/>
      <c r="JF90" s="99"/>
      <c r="JG90" s="99"/>
      <c r="JH90" s="99"/>
      <c r="JI90" s="99"/>
      <c r="JJ90" s="99"/>
      <c r="JK90" s="99"/>
      <c r="JL90" s="99"/>
      <c r="JM90" s="99"/>
      <c r="JN90" s="99"/>
      <c r="JO90" s="99"/>
      <c r="JP90" s="99"/>
      <c r="JQ90" s="99"/>
      <c r="JR90" s="99"/>
      <c r="JS90" s="99"/>
      <c r="JT90" s="99"/>
      <c r="JU90" s="99"/>
      <c r="JV90" s="99"/>
      <c r="JW90" s="99"/>
      <c r="JX90" s="99"/>
      <c r="JY90" s="99"/>
      <c r="JZ90" s="99"/>
      <c r="KA90" s="99"/>
      <c r="KB90" s="99"/>
      <c r="KC90" s="99"/>
      <c r="KD90" s="99"/>
      <c r="KE90" s="99"/>
      <c r="KF90" s="99"/>
      <c r="KG90" s="99"/>
      <c r="KH90" s="99"/>
      <c r="KI90" s="99"/>
      <c r="KJ90" s="99"/>
      <c r="KK90" s="99"/>
      <c r="KL90" s="99"/>
      <c r="KM90" s="99"/>
      <c r="KN90" s="99"/>
      <c r="KO90" s="99"/>
      <c r="KP90" s="99"/>
      <c r="KQ90" s="99"/>
      <c r="KR90" s="99"/>
      <c r="KS90" s="99"/>
      <c r="KT90" s="99"/>
      <c r="KU90" s="99"/>
      <c r="KV90" s="99"/>
      <c r="KW90" s="99"/>
      <c r="KX90" s="99"/>
      <c r="KY90" s="99"/>
      <c r="KZ90" s="99"/>
      <c r="LA90" s="99"/>
      <c r="LB90" s="99"/>
      <c r="LC90" s="99"/>
      <c r="LD90" s="99"/>
      <c r="LE90" s="99"/>
      <c r="LF90" s="99"/>
      <c r="LG90" s="99"/>
      <c r="LH90" s="99"/>
      <c r="LI90" s="99"/>
      <c r="LJ90" s="99"/>
      <c r="LK90" s="99"/>
      <c r="LL90" s="99"/>
      <c r="LM90" s="99"/>
      <c r="LN90" s="99"/>
      <c r="LO90" s="99"/>
      <c r="LP90" s="99"/>
      <c r="LQ90" s="99"/>
      <c r="LR90" s="99"/>
      <c r="LS90" s="99"/>
      <c r="LT90" s="99"/>
      <c r="LU90" s="99"/>
      <c r="LV90" s="99"/>
      <c r="LW90" s="99"/>
      <c r="LX90" s="99"/>
      <c r="LY90" s="99"/>
      <c r="LZ90" s="99"/>
      <c r="MA90" s="99"/>
      <c r="MB90" s="99"/>
      <c r="MC90" s="99"/>
      <c r="MD90" s="99"/>
      <c r="ME90" s="99"/>
      <c r="MF90" s="99"/>
      <c r="MG90" s="99"/>
      <c r="MH90" s="99"/>
      <c r="MI90" s="99"/>
      <c r="MJ90" s="99"/>
      <c r="MK90" s="99"/>
      <c r="ML90" s="99"/>
      <c r="MM90" s="99"/>
      <c r="MN90" s="99"/>
      <c r="MO90" s="99"/>
      <c r="MP90" s="99"/>
      <c r="MQ90" s="99"/>
      <c r="MR90" s="99"/>
      <c r="MS90" s="99"/>
      <c r="MT90" s="99"/>
      <c r="MU90" s="99"/>
      <c r="MV90" s="99"/>
      <c r="MW90" s="99"/>
      <c r="MX90" s="99"/>
      <c r="MY90" s="99"/>
      <c r="MZ90" s="99"/>
      <c r="NA90" s="99"/>
      <c r="NB90" s="99"/>
      <c r="NC90" s="99"/>
      <c r="ND90" s="99"/>
      <c r="NE90" s="99"/>
      <c r="NF90" s="99"/>
      <c r="NG90" s="99"/>
      <c r="NH90" s="99"/>
      <c r="NI90" s="99"/>
      <c r="NJ90" s="99"/>
      <c r="NK90" s="99"/>
      <c r="NL90" s="99"/>
      <c r="NM90" s="99"/>
      <c r="NN90" s="99"/>
      <c r="NO90" s="99"/>
      <c r="NP90" s="99"/>
      <c r="NQ90" s="99"/>
      <c r="NR90" s="99"/>
      <c r="NS90" s="99"/>
      <c r="NT90" s="99"/>
      <c r="NU90" s="99"/>
      <c r="NV90" s="99"/>
      <c r="NW90" s="99"/>
      <c r="NX90" s="99"/>
      <c r="NY90" s="99"/>
      <c r="NZ90" s="99"/>
      <c r="OA90" s="99"/>
      <c r="OB90" s="99"/>
      <c r="OC90" s="99"/>
      <c r="OD90" s="99"/>
      <c r="OE90" s="99"/>
      <c r="OF90" s="99"/>
      <c r="OG90" s="99"/>
      <c r="OH90" s="99"/>
      <c r="OI90" s="99"/>
      <c r="OJ90" s="99"/>
      <c r="OK90" s="99"/>
      <c r="OL90" s="99"/>
      <c r="OM90" s="99"/>
      <c r="ON90" s="99"/>
      <c r="OO90" s="99"/>
      <c r="OP90" s="99"/>
      <c r="OQ90" s="99"/>
      <c r="OR90" s="99"/>
      <c r="OS90" s="99"/>
      <c r="OT90" s="99"/>
      <c r="OU90" s="99"/>
      <c r="OV90" s="99"/>
      <c r="OW90" s="99"/>
      <c r="OX90" s="99"/>
      <c r="OY90" s="99"/>
      <c r="OZ90" s="99"/>
      <c r="PA90" s="99"/>
      <c r="PB90" s="99"/>
      <c r="PC90" s="99"/>
      <c r="PD90" s="99"/>
      <c r="PE90" s="99"/>
      <c r="PF90" s="99"/>
      <c r="PG90" s="99"/>
      <c r="PH90" s="99"/>
      <c r="PI90" s="99"/>
      <c r="PJ90" s="99"/>
      <c r="PK90" s="99"/>
      <c r="PL90" s="99"/>
      <c r="PM90" s="99"/>
      <c r="PN90" s="99"/>
      <c r="PO90" s="99"/>
      <c r="PP90" s="99"/>
      <c r="PQ90" s="99"/>
      <c r="PR90" s="99"/>
      <c r="PS90" s="99"/>
      <c r="PT90" s="99"/>
      <c r="PU90" s="99"/>
      <c r="PV90" s="99"/>
      <c r="PW90" s="99"/>
      <c r="PX90" s="99"/>
      <c r="PY90" s="99"/>
      <c r="PZ90" s="99"/>
      <c r="QA90" s="99"/>
      <c r="QB90" s="99"/>
      <c r="QC90" s="99"/>
      <c r="QD90" s="99"/>
      <c r="QE90" s="99"/>
      <c r="QF90" s="99"/>
      <c r="QG90" s="99"/>
      <c r="QH90" s="99"/>
      <c r="QI90" s="99"/>
      <c r="QJ90" s="99"/>
      <c r="QK90" s="99"/>
      <c r="QL90" s="99"/>
      <c r="QM90" s="99"/>
      <c r="QN90" s="99"/>
      <c r="QO90" s="99"/>
      <c r="QP90" s="99"/>
      <c r="QQ90" s="99"/>
      <c r="QR90" s="99"/>
      <c r="QS90" s="99"/>
      <c r="QT90" s="99"/>
      <c r="QU90" s="99"/>
      <c r="QV90" s="99"/>
      <c r="QW90" s="99"/>
      <c r="QX90" s="99"/>
      <c r="QY90" s="99"/>
      <c r="QZ90" s="99"/>
      <c r="RA90" s="99"/>
      <c r="RB90" s="99"/>
      <c r="RC90" s="99"/>
      <c r="RD90" s="99"/>
      <c r="RE90" s="99"/>
      <c r="RF90" s="99"/>
      <c r="RG90" s="99"/>
      <c r="RH90" s="99"/>
      <c r="RI90" s="99"/>
      <c r="RJ90" s="99"/>
      <c r="RK90" s="99"/>
      <c r="RL90" s="99"/>
      <c r="RM90" s="99"/>
      <c r="RN90" s="99"/>
    </row>
    <row r="91" spans="1:483" s="60" customFormat="1" ht="11.25" customHeight="1" x14ac:dyDescent="0.2">
      <c r="A91" s="121">
        <v>12</v>
      </c>
      <c r="B91" s="175" t="s">
        <v>895</v>
      </c>
      <c r="C91" s="175"/>
      <c r="D91" s="115">
        <f t="shared" si="344"/>
        <v>0</v>
      </c>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t="s">
        <v>912</v>
      </c>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102"/>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H91" s="99"/>
      <c r="HI91" s="99"/>
      <c r="HJ91" s="99"/>
      <c r="HK91" s="99"/>
      <c r="HL91" s="99"/>
      <c r="HM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c r="IV91" s="99"/>
      <c r="IW91" s="99"/>
      <c r="IX91" s="99"/>
      <c r="IY91" s="99"/>
      <c r="IZ91" s="99"/>
      <c r="JA91" s="99"/>
      <c r="JB91" s="99"/>
      <c r="JC91" s="99"/>
      <c r="JD91" s="99"/>
      <c r="JE91" s="99"/>
      <c r="JF91" s="99"/>
      <c r="JG91" s="99"/>
      <c r="JH91" s="99"/>
      <c r="JI91" s="99"/>
      <c r="JJ91" s="99"/>
      <c r="JK91" s="99"/>
      <c r="JL91" s="99"/>
      <c r="JM91" s="99"/>
      <c r="JN91" s="99"/>
      <c r="JO91" s="99"/>
      <c r="JP91" s="99"/>
      <c r="JQ91" s="99"/>
      <c r="JR91" s="99"/>
      <c r="JS91" s="99"/>
      <c r="JT91" s="99"/>
      <c r="JU91" s="99"/>
      <c r="JV91" s="99"/>
      <c r="JW91" s="99"/>
      <c r="JX91" s="99"/>
      <c r="JY91" s="99"/>
      <c r="JZ91" s="99"/>
      <c r="KA91" s="99"/>
      <c r="KB91" s="99"/>
      <c r="KC91" s="99"/>
      <c r="KD91" s="99"/>
      <c r="KE91" s="99"/>
      <c r="KF91" s="99"/>
      <c r="KG91" s="99"/>
      <c r="KH91" s="99"/>
      <c r="KI91" s="99"/>
      <c r="KJ91" s="99"/>
      <c r="KK91" s="99"/>
      <c r="KL91" s="99"/>
      <c r="KM91" s="99"/>
      <c r="KN91" s="99"/>
      <c r="KO91" s="99"/>
      <c r="KP91" s="99"/>
      <c r="KQ91" s="99"/>
      <c r="KR91" s="99"/>
      <c r="KS91" s="99"/>
      <c r="KT91" s="99"/>
      <c r="KU91" s="99"/>
      <c r="KV91" s="99"/>
      <c r="KW91" s="99"/>
      <c r="KX91" s="99"/>
      <c r="KY91" s="99"/>
      <c r="KZ91" s="99"/>
      <c r="LA91" s="99"/>
      <c r="LB91" s="99"/>
      <c r="LC91" s="99"/>
      <c r="LD91" s="99"/>
      <c r="LE91" s="99"/>
      <c r="LF91" s="99"/>
      <c r="LG91" s="99"/>
      <c r="LH91" s="99"/>
      <c r="LI91" s="99"/>
      <c r="LJ91" s="99"/>
      <c r="LK91" s="99"/>
      <c r="LL91" s="99"/>
      <c r="LM91" s="99"/>
      <c r="LN91" s="99"/>
      <c r="LO91" s="99"/>
      <c r="LP91" s="99"/>
      <c r="LQ91" s="99"/>
      <c r="LR91" s="99"/>
      <c r="LS91" s="99"/>
      <c r="LT91" s="99"/>
      <c r="LU91" s="99"/>
      <c r="LV91" s="99"/>
      <c r="LW91" s="99"/>
      <c r="LX91" s="99"/>
      <c r="LY91" s="99"/>
      <c r="LZ91" s="99"/>
      <c r="MA91" s="99"/>
      <c r="MB91" s="99"/>
      <c r="MC91" s="99"/>
      <c r="MD91" s="99"/>
      <c r="ME91" s="99"/>
      <c r="MF91" s="99"/>
      <c r="MG91" s="99"/>
      <c r="MH91" s="99"/>
      <c r="MI91" s="99"/>
      <c r="MJ91" s="99"/>
      <c r="MK91" s="99"/>
      <c r="ML91" s="99"/>
      <c r="MM91" s="99"/>
      <c r="MN91" s="99"/>
      <c r="MO91" s="99"/>
      <c r="MP91" s="99"/>
      <c r="MQ91" s="99"/>
      <c r="MR91" s="99"/>
      <c r="MS91" s="99"/>
      <c r="MT91" s="99"/>
      <c r="MU91" s="99"/>
      <c r="MV91" s="99"/>
      <c r="MW91" s="99"/>
      <c r="MX91" s="99"/>
      <c r="MY91" s="99"/>
      <c r="MZ91" s="99"/>
      <c r="NA91" s="99"/>
      <c r="NB91" s="99"/>
      <c r="NC91" s="99"/>
      <c r="ND91" s="99"/>
      <c r="NE91" s="99"/>
      <c r="NF91" s="99"/>
      <c r="NG91" s="99"/>
      <c r="NH91" s="99"/>
      <c r="NI91" s="99"/>
      <c r="NJ91" s="99"/>
      <c r="NK91" s="99"/>
      <c r="NL91" s="99"/>
      <c r="NM91" s="99"/>
      <c r="NN91" s="99"/>
      <c r="NO91" s="99"/>
      <c r="NP91" s="99"/>
      <c r="NQ91" s="99"/>
      <c r="NR91" s="99"/>
      <c r="NS91" s="99"/>
      <c r="NT91" s="99"/>
      <c r="NU91" s="99"/>
      <c r="NV91" s="99"/>
      <c r="NW91" s="99"/>
      <c r="NX91" s="99"/>
      <c r="NY91" s="99"/>
      <c r="NZ91" s="99"/>
      <c r="OA91" s="99"/>
      <c r="OB91" s="99"/>
      <c r="OC91" s="99"/>
      <c r="OD91" s="99"/>
      <c r="OE91" s="99"/>
      <c r="OF91" s="99"/>
      <c r="OG91" s="99"/>
      <c r="OH91" s="99"/>
      <c r="OI91" s="99"/>
      <c r="OJ91" s="99"/>
      <c r="OK91" s="99"/>
      <c r="OL91" s="99"/>
      <c r="OM91" s="99"/>
      <c r="ON91" s="99"/>
      <c r="OO91" s="99"/>
      <c r="OP91" s="99"/>
      <c r="OQ91" s="99"/>
      <c r="OR91" s="99"/>
      <c r="OS91" s="99"/>
      <c r="OT91" s="99"/>
      <c r="OU91" s="99"/>
      <c r="OV91" s="99"/>
      <c r="OW91" s="99"/>
      <c r="OX91" s="99"/>
      <c r="OY91" s="99"/>
      <c r="OZ91" s="99"/>
      <c r="PA91" s="99"/>
      <c r="PB91" s="99"/>
      <c r="PC91" s="99"/>
      <c r="PD91" s="99"/>
      <c r="PE91" s="99"/>
      <c r="PF91" s="99"/>
      <c r="PG91" s="99"/>
      <c r="PH91" s="99"/>
      <c r="PI91" s="99"/>
      <c r="PJ91" s="99"/>
      <c r="PK91" s="99"/>
      <c r="PL91" s="99"/>
      <c r="PM91" s="99"/>
      <c r="PN91" s="99"/>
      <c r="PO91" s="99"/>
      <c r="PP91" s="99"/>
      <c r="PQ91" s="99"/>
      <c r="PR91" s="99"/>
      <c r="PS91" s="99"/>
      <c r="PT91" s="99"/>
      <c r="PU91" s="99"/>
      <c r="PV91" s="99"/>
      <c r="PW91" s="99"/>
      <c r="PX91" s="99"/>
      <c r="PY91" s="99"/>
      <c r="PZ91" s="99"/>
      <c r="QA91" s="99"/>
      <c r="QB91" s="99"/>
      <c r="QC91" s="99"/>
      <c r="QD91" s="99"/>
      <c r="QE91" s="99"/>
      <c r="QF91" s="99"/>
      <c r="QG91" s="99"/>
      <c r="QH91" s="99"/>
      <c r="QI91" s="99"/>
      <c r="QJ91" s="99"/>
      <c r="QK91" s="99"/>
      <c r="QL91" s="99"/>
      <c r="QM91" s="99"/>
      <c r="QN91" s="99"/>
      <c r="QO91" s="99"/>
      <c r="QP91" s="99"/>
      <c r="QQ91" s="99"/>
      <c r="QR91" s="99"/>
      <c r="QS91" s="99"/>
      <c r="QT91" s="99"/>
      <c r="QU91" s="99"/>
      <c r="QV91" s="99"/>
      <c r="QW91" s="99"/>
      <c r="QX91" s="99"/>
      <c r="QY91" s="99"/>
      <c r="QZ91" s="99"/>
      <c r="RA91" s="99"/>
      <c r="RB91" s="99"/>
      <c r="RC91" s="99"/>
      <c r="RD91" s="99"/>
      <c r="RE91" s="99"/>
      <c r="RF91" s="99"/>
      <c r="RG91" s="99"/>
      <c r="RH91" s="99"/>
      <c r="RI91" s="99"/>
      <c r="RJ91" s="99"/>
      <c r="RK91" s="99"/>
      <c r="RL91" s="99"/>
      <c r="RM91" s="99"/>
      <c r="RN91" s="99"/>
    </row>
    <row r="92" spans="1:483" s="94" customFormat="1" ht="11.25" x14ac:dyDescent="0.2">
      <c r="A92" s="127"/>
      <c r="B92" s="92"/>
      <c r="C92" s="92"/>
      <c r="D92" s="117"/>
      <c r="E92" s="145"/>
      <c r="F92" s="146"/>
      <c r="G92" s="145"/>
      <c r="H92" s="145"/>
      <c r="I92" s="145"/>
      <c r="J92" s="145"/>
      <c r="K92" s="145"/>
      <c r="L92" s="145"/>
      <c r="M92" s="145"/>
      <c r="N92" s="146"/>
      <c r="O92" s="146"/>
      <c r="P92" s="145"/>
      <c r="Q92" s="145"/>
      <c r="R92" s="145"/>
      <c r="S92" s="146"/>
      <c r="T92" s="145"/>
      <c r="U92" s="146"/>
      <c r="V92" s="145"/>
      <c r="W92" s="146"/>
      <c r="X92" s="145"/>
      <c r="Y92" s="145"/>
      <c r="Z92" s="145"/>
      <c r="AA92" s="146"/>
      <c r="AB92" s="145"/>
      <c r="AC92" s="145"/>
      <c r="AD92" s="145"/>
      <c r="AE92" s="145"/>
      <c r="AF92" s="145"/>
      <c r="AG92" s="145"/>
      <c r="AH92" s="145"/>
      <c r="AI92" s="145"/>
      <c r="AJ92" s="145"/>
      <c r="AK92" s="145"/>
      <c r="AL92" s="146"/>
      <c r="AM92" s="145"/>
      <c r="AN92" s="146"/>
      <c r="AO92" s="145"/>
      <c r="AP92" s="145"/>
      <c r="AQ92" s="145"/>
      <c r="AR92" s="145"/>
      <c r="AS92" s="145"/>
      <c r="AT92" s="145"/>
      <c r="AU92" s="145"/>
      <c r="AV92" s="145"/>
      <c r="AW92" s="145"/>
      <c r="AX92" s="145"/>
      <c r="AY92" s="145"/>
      <c r="AZ92" s="145"/>
      <c r="BA92" s="145"/>
      <c r="BB92" s="145"/>
      <c r="BC92" s="145"/>
      <c r="BD92" s="145"/>
      <c r="BE92" s="145"/>
      <c r="BF92" s="146"/>
      <c r="BG92" s="145"/>
      <c r="BH92" s="145"/>
      <c r="BI92" s="146"/>
      <c r="BJ92" s="145"/>
      <c r="BK92" s="146"/>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c r="IW92" s="93"/>
      <c r="IX92" s="93"/>
      <c r="IY92" s="93"/>
      <c r="IZ92" s="93"/>
      <c r="JA92" s="93"/>
      <c r="JB92" s="93"/>
      <c r="JC92" s="93"/>
      <c r="JD92" s="93"/>
      <c r="JE92" s="93"/>
      <c r="JF92" s="93"/>
      <c r="JG92" s="93"/>
      <c r="JH92" s="93"/>
      <c r="JI92" s="93"/>
      <c r="JJ92" s="93"/>
      <c r="JK92" s="93"/>
      <c r="JL92" s="93"/>
      <c r="JM92" s="93"/>
      <c r="JN92" s="93"/>
      <c r="JO92" s="93"/>
      <c r="JP92" s="93"/>
      <c r="JQ92" s="93"/>
      <c r="JR92" s="93"/>
      <c r="JS92" s="93"/>
      <c r="JT92" s="93"/>
      <c r="JU92" s="93"/>
      <c r="JV92" s="93"/>
      <c r="JW92" s="93"/>
      <c r="JX92" s="93"/>
      <c r="JY92" s="93"/>
      <c r="JZ92" s="93"/>
      <c r="KA92" s="93"/>
      <c r="KB92" s="93"/>
      <c r="KC92" s="93"/>
      <c r="KD92" s="93"/>
      <c r="KE92" s="93"/>
      <c r="KF92" s="93"/>
      <c r="KG92" s="93"/>
      <c r="KH92" s="93"/>
      <c r="KI92" s="93"/>
      <c r="KJ92" s="93"/>
      <c r="KK92" s="93"/>
      <c r="KL92" s="93"/>
      <c r="KM92" s="93"/>
      <c r="KN92" s="93"/>
      <c r="KO92" s="93"/>
      <c r="KP92" s="93"/>
      <c r="KQ92" s="93"/>
      <c r="KR92" s="93"/>
      <c r="KS92" s="93"/>
      <c r="KT92" s="93"/>
      <c r="KU92" s="93"/>
      <c r="KV92" s="93"/>
      <c r="KW92" s="93"/>
      <c r="KX92" s="93"/>
      <c r="KY92" s="93"/>
      <c r="KZ92" s="93"/>
      <c r="LA92" s="93"/>
      <c r="LB92" s="93"/>
      <c r="LC92" s="93"/>
      <c r="LD92" s="93"/>
      <c r="LE92" s="93"/>
      <c r="LF92" s="93"/>
      <c r="LG92" s="93"/>
      <c r="LH92" s="93"/>
      <c r="LI92" s="93"/>
      <c r="LJ92" s="93"/>
      <c r="LK92" s="93"/>
      <c r="LL92" s="93"/>
      <c r="LM92" s="93"/>
      <c r="LN92" s="93"/>
      <c r="LO92" s="93"/>
      <c r="LP92" s="93"/>
      <c r="LQ92" s="93"/>
      <c r="LR92" s="93"/>
      <c r="LS92" s="93"/>
      <c r="LT92" s="93"/>
      <c r="LU92" s="93"/>
      <c r="LV92" s="93"/>
      <c r="LW92" s="93"/>
      <c r="LX92" s="93"/>
      <c r="LY92" s="93"/>
      <c r="LZ92" s="93"/>
      <c r="MA92" s="93"/>
      <c r="MB92" s="93"/>
      <c r="MC92" s="93"/>
      <c r="MD92" s="93"/>
      <c r="ME92" s="93"/>
      <c r="MF92" s="93"/>
      <c r="MG92" s="93"/>
      <c r="MH92" s="93"/>
      <c r="MI92" s="93"/>
      <c r="MJ92" s="93"/>
      <c r="MK92" s="93"/>
      <c r="ML92" s="93"/>
      <c r="MM92" s="93"/>
      <c r="MN92" s="93"/>
      <c r="MO92" s="93"/>
      <c r="MP92" s="93"/>
      <c r="MQ92" s="93"/>
      <c r="MR92" s="93"/>
      <c r="MS92" s="93"/>
      <c r="MT92" s="93"/>
      <c r="MU92" s="93"/>
      <c r="MV92" s="93"/>
      <c r="MW92" s="93"/>
      <c r="MX92" s="93"/>
      <c r="MY92" s="93"/>
      <c r="MZ92" s="93"/>
      <c r="NA92" s="93"/>
      <c r="NB92" s="93"/>
      <c r="NC92" s="93"/>
      <c r="ND92" s="93"/>
      <c r="NE92" s="93"/>
      <c r="NF92" s="93"/>
      <c r="NG92" s="93"/>
      <c r="NH92" s="93"/>
      <c r="NI92" s="93"/>
      <c r="NJ92" s="93"/>
      <c r="NK92" s="93"/>
      <c r="NL92" s="93"/>
      <c r="NM92" s="93"/>
      <c r="NN92" s="93"/>
      <c r="NO92" s="93"/>
      <c r="NP92" s="93"/>
      <c r="NQ92" s="93"/>
      <c r="NR92" s="93"/>
      <c r="NS92" s="93"/>
      <c r="NT92" s="93"/>
      <c r="NU92" s="93"/>
      <c r="NV92" s="93"/>
      <c r="NW92" s="93"/>
      <c r="NX92" s="93"/>
      <c r="NY92" s="93"/>
      <c r="NZ92" s="93"/>
      <c r="OA92" s="93"/>
      <c r="OB92" s="93"/>
      <c r="OC92" s="93"/>
      <c r="OD92" s="93"/>
      <c r="OE92" s="93"/>
      <c r="OF92" s="93"/>
      <c r="OG92" s="93"/>
      <c r="OH92" s="93"/>
      <c r="OI92" s="93"/>
      <c r="OJ92" s="93"/>
      <c r="OK92" s="93"/>
      <c r="OL92" s="93"/>
      <c r="OM92" s="93"/>
      <c r="ON92" s="93"/>
      <c r="OO92" s="93"/>
      <c r="OP92" s="93"/>
      <c r="OQ92" s="93"/>
      <c r="OR92" s="93"/>
      <c r="OS92" s="93"/>
      <c r="OT92" s="93"/>
      <c r="OU92" s="93"/>
      <c r="OV92" s="93"/>
      <c r="OW92" s="93"/>
      <c r="OX92" s="93"/>
      <c r="OY92" s="93"/>
      <c r="OZ92" s="93"/>
      <c r="PA92" s="93"/>
      <c r="PB92" s="93"/>
      <c r="PC92" s="93"/>
      <c r="PD92" s="93"/>
      <c r="PE92" s="93"/>
      <c r="PF92" s="93"/>
      <c r="PG92" s="93"/>
      <c r="PH92" s="93"/>
      <c r="PI92" s="93"/>
      <c r="PJ92" s="93"/>
      <c r="PK92" s="93"/>
      <c r="PL92" s="93"/>
      <c r="PM92" s="93"/>
      <c r="PN92" s="93"/>
      <c r="PO92" s="93"/>
      <c r="PP92" s="93"/>
      <c r="PQ92" s="93"/>
      <c r="PR92" s="93"/>
      <c r="PS92" s="93"/>
      <c r="PT92" s="93"/>
      <c r="PU92" s="93"/>
      <c r="PV92" s="93"/>
      <c r="PW92" s="93"/>
      <c r="PX92" s="93"/>
      <c r="PY92" s="93"/>
      <c r="PZ92" s="93"/>
      <c r="QA92" s="93"/>
      <c r="QB92" s="93"/>
      <c r="QC92" s="93"/>
      <c r="QD92" s="93"/>
      <c r="QE92" s="93"/>
      <c r="QF92" s="93"/>
      <c r="QG92" s="93"/>
      <c r="QH92" s="93"/>
      <c r="QI92" s="93"/>
      <c r="QJ92" s="93"/>
      <c r="QK92" s="93"/>
      <c r="QL92" s="93"/>
      <c r="QM92" s="93"/>
      <c r="QN92" s="93"/>
      <c r="QO92" s="93"/>
      <c r="QP92" s="93"/>
      <c r="QQ92" s="93"/>
      <c r="QR92" s="93"/>
      <c r="QS92" s="93"/>
      <c r="QT92" s="93"/>
      <c r="QU92" s="93"/>
      <c r="QV92" s="93"/>
      <c r="QW92" s="93"/>
      <c r="QX92" s="93"/>
      <c r="QY92" s="93"/>
      <c r="QZ92" s="93"/>
      <c r="RA92" s="93"/>
      <c r="RB92" s="93"/>
      <c r="RC92" s="93"/>
      <c r="RD92" s="93"/>
      <c r="RE92" s="93"/>
      <c r="RF92" s="93"/>
      <c r="RG92" s="93"/>
      <c r="RH92" s="93"/>
      <c r="RI92" s="93"/>
      <c r="RJ92" s="93"/>
      <c r="RK92" s="93"/>
      <c r="RL92" s="93"/>
      <c r="RM92" s="93"/>
      <c r="RN92" s="93"/>
    </row>
    <row r="93" spans="1:483" s="94" customFormat="1" ht="12.75" x14ac:dyDescent="0.2">
      <c r="A93" s="127"/>
      <c r="B93" s="95"/>
      <c r="C93" s="91"/>
      <c r="D93" s="118"/>
      <c r="E93" s="147"/>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RO93" s="96"/>
    </row>
    <row r="94" spans="1:483" s="60" customFormat="1" ht="9.75" customHeight="1" x14ac:dyDescent="0.25">
      <c r="A94" s="120"/>
      <c r="B94" s="68"/>
      <c r="C94" s="67"/>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t="s">
        <v>896</v>
      </c>
      <c r="RG94" s="60" t="s">
        <v>823</v>
      </c>
      <c r="RL94" s="61"/>
    </row>
    <row r="95" spans="1:483" s="60" customFormat="1" ht="9.75" customHeight="1" x14ac:dyDescent="0.25">
      <c r="A95" s="120"/>
      <c r="B95" s="68"/>
      <c r="C95" s="67"/>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t="s">
        <v>897</v>
      </c>
      <c r="RG95" s="60" t="s">
        <v>830</v>
      </c>
      <c r="RL95" s="60" t="s">
        <v>825</v>
      </c>
    </row>
    <row r="96" spans="1:483" s="60" customFormat="1" ht="9.75" customHeight="1" x14ac:dyDescent="0.25">
      <c r="A96" s="120"/>
      <c r="B96" s="68"/>
      <c r="C96" s="67"/>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t="s">
        <v>835</v>
      </c>
    </row>
    <row r="97" spans="1:480" ht="9.75" customHeight="1" x14ac:dyDescent="0.25">
      <c r="A97" s="120"/>
      <c r="B97" s="68"/>
      <c r="C97" s="68"/>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t="s">
        <v>898</v>
      </c>
      <c r="RG97" s="60" t="s">
        <v>824</v>
      </c>
    </row>
    <row r="98" spans="1:480" ht="9.75" customHeight="1" x14ac:dyDescent="0.25">
      <c r="A98" s="120"/>
      <c r="B98" s="68"/>
      <c r="C98" s="68"/>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t="s">
        <v>899</v>
      </c>
      <c r="RG98" s="60" t="s">
        <v>831</v>
      </c>
      <c r="RL98" s="60" t="s">
        <v>826</v>
      </c>
    </row>
    <row r="99" spans="1:480" ht="9.75" customHeight="1" x14ac:dyDescent="0.25">
      <c r="A99" s="120"/>
      <c r="B99" s="68"/>
      <c r="C99" s="68"/>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t="s">
        <v>835</v>
      </c>
    </row>
    <row r="100" spans="1:480" ht="9.75" customHeight="1" x14ac:dyDescent="0.25">
      <c r="A100" s="120"/>
      <c r="B100" s="68"/>
      <c r="C100" s="68"/>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t="s">
        <v>898</v>
      </c>
      <c r="RG100" s="60" t="s">
        <v>824</v>
      </c>
    </row>
    <row r="101" spans="1:480" ht="9.75" customHeight="1" x14ac:dyDescent="0.25">
      <c r="A101" s="120"/>
      <c r="B101" s="68"/>
      <c r="C101" s="68"/>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t="s">
        <v>900</v>
      </c>
      <c r="RG101" s="60" t="s">
        <v>832</v>
      </c>
      <c r="RL101" s="60" t="s">
        <v>827</v>
      </c>
    </row>
    <row r="102" spans="1:480" ht="9.75" customHeight="1" x14ac:dyDescent="0.25">
      <c r="A102" s="120"/>
      <c r="B102" s="68"/>
      <c r="C102" s="68"/>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t="s">
        <v>835</v>
      </c>
    </row>
    <row r="103" spans="1:480" ht="9.75" customHeight="1" x14ac:dyDescent="0.25">
      <c r="A103" s="120"/>
      <c r="B103" s="68"/>
      <c r="C103" s="68"/>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t="s">
        <v>835</v>
      </c>
    </row>
    <row r="104" spans="1:480" ht="9.75" customHeight="1" x14ac:dyDescent="0.25">
      <c r="A104" s="120"/>
      <c r="B104" s="68"/>
      <c r="C104" s="68"/>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t="s">
        <v>901</v>
      </c>
      <c r="RH104" s="148" t="s">
        <v>833</v>
      </c>
      <c r="RK104" s="149"/>
    </row>
    <row r="105" spans="1:480" ht="9.75" customHeight="1" x14ac:dyDescent="0.25">
      <c r="A105" s="128"/>
      <c r="B105"/>
      <c r="C105"/>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row>
    <row r="106" spans="1:480" ht="9.75" customHeight="1" x14ac:dyDescent="0.25">
      <c r="A106" s="128"/>
      <c r="B106"/>
      <c r="C106"/>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row>
  </sheetData>
  <mergeCells count="75">
    <mergeCell ref="B91:C91"/>
    <mergeCell ref="B81:C81"/>
    <mergeCell ref="B82:C82"/>
    <mergeCell ref="B83:C83"/>
    <mergeCell ref="B84:C84"/>
    <mergeCell ref="B85:B86"/>
    <mergeCell ref="B87:B88"/>
    <mergeCell ref="B80:C80"/>
    <mergeCell ref="B61:C61"/>
    <mergeCell ref="B62:C62"/>
    <mergeCell ref="B64:C64"/>
    <mergeCell ref="B65:C65"/>
    <mergeCell ref="A67:C67"/>
    <mergeCell ref="B69:C69"/>
    <mergeCell ref="A70:C70"/>
    <mergeCell ref="B71:B72"/>
    <mergeCell ref="B73:B74"/>
    <mergeCell ref="B75:B76"/>
    <mergeCell ref="B77:B78"/>
    <mergeCell ref="A63:B63"/>
    <mergeCell ref="A79:B79"/>
    <mergeCell ref="A60:C60"/>
    <mergeCell ref="A48:C48"/>
    <mergeCell ref="B50:C50"/>
    <mergeCell ref="B51:C51"/>
    <mergeCell ref="A52:C52"/>
    <mergeCell ref="B53:C53"/>
    <mergeCell ref="B54:C54"/>
    <mergeCell ref="B55:C55"/>
    <mergeCell ref="B56:C56"/>
    <mergeCell ref="B57:C57"/>
    <mergeCell ref="B58:C58"/>
    <mergeCell ref="B59:C59"/>
    <mergeCell ref="A47:C47"/>
    <mergeCell ref="B33:C33"/>
    <mergeCell ref="B34:C34"/>
    <mergeCell ref="B36:C36"/>
    <mergeCell ref="B37:C37"/>
    <mergeCell ref="B38:C38"/>
    <mergeCell ref="B39:C39"/>
    <mergeCell ref="B41:C41"/>
    <mergeCell ref="B43:C43"/>
    <mergeCell ref="B44:C44"/>
    <mergeCell ref="A45:C45"/>
    <mergeCell ref="B46:C46"/>
    <mergeCell ref="B32:C32"/>
    <mergeCell ref="B21:C21"/>
    <mergeCell ref="B22:C22"/>
    <mergeCell ref="B23:C23"/>
    <mergeCell ref="B24:C24"/>
    <mergeCell ref="A25:C25"/>
    <mergeCell ref="B26:C26"/>
    <mergeCell ref="B27:C27"/>
    <mergeCell ref="B28:C28"/>
    <mergeCell ref="B29:C29"/>
    <mergeCell ref="B30:C30"/>
    <mergeCell ref="B31:C31"/>
    <mergeCell ref="B20:C20"/>
    <mergeCell ref="B9:C9"/>
    <mergeCell ref="A10:C10"/>
    <mergeCell ref="B12:C12"/>
    <mergeCell ref="B13:C13"/>
    <mergeCell ref="B14:C14"/>
    <mergeCell ref="B15:C15"/>
    <mergeCell ref="B16:C16"/>
    <mergeCell ref="B17:C17"/>
    <mergeCell ref="B18:C18"/>
    <mergeCell ref="B19:C19"/>
    <mergeCell ref="A11:B11"/>
    <mergeCell ref="A5:A8"/>
    <mergeCell ref="B5:C5"/>
    <mergeCell ref="B6:C6"/>
    <mergeCell ref="D6:D8"/>
    <mergeCell ref="B7:C7"/>
    <mergeCell ref="B8:C8"/>
  </mergeCells>
  <conditionalFormatting sqref="BL5:RN6 BL8:RN91 BL7:GI7 GM7:RN7">
    <cfRule type="containsText" dxfId="17" priority="22" operator="containsText" text="Íàëàéõ">
      <formula>NOT(ISERROR(SEARCH("Íàëàéõ",BL5)))</formula>
    </cfRule>
  </conditionalFormatting>
  <conditionalFormatting sqref="BL5:RN6 BL8:RN91 BL7:GI7 GM7:RN7">
    <cfRule type="containsText" dxfId="16" priority="2" operator="containsText" text="ХУД">
      <formula>NOT(ISERROR(SEARCH("ХУД",BL5)))</formula>
    </cfRule>
    <cfRule type="containsText" dxfId="15" priority="3" operator="containsText" text="ÁÃÄ ÒÕ">
      <formula>NOT(ISERROR(SEARCH("ÁÃÄ ÒÕ",BL5)))</formula>
    </cfRule>
    <cfRule type="containsText" dxfId="14" priority="4" operator="containsText" text="БГД">
      <formula>NOT(ISERROR(SEARCH("БГД",BL5)))</formula>
    </cfRule>
    <cfRule type="containsText" dxfId="13" priority="5" operator="containsText" text="БЗД">
      <formula>NOT(ISERROR(SEARCH("БЗД",BL5)))</formula>
    </cfRule>
    <cfRule type="containsText" dxfId="12" priority="6" operator="containsText" text="ÁÇÄ">
      <formula>NOT(ISERROR(SEARCH("ÁÇÄ",BL5)))</formula>
    </cfRule>
    <cfRule type="containsText" dxfId="11" priority="7" operator="containsText" text="Чингэлтэй">
      <formula>NOT(ISERROR(SEARCH("Чингэлтэй",BL5)))</formula>
    </cfRule>
    <cfRule type="containsText" dxfId="10" priority="9" operator="containsText" text="ЧД">
      <formula>NOT(ISERROR(SEARCH("ЧД",BL5)))</formula>
    </cfRule>
    <cfRule type="containsText" dxfId="9" priority="10" operator="containsText" text="×Ä">
      <formula>NOT(ISERROR(SEARCH("×Ä",BL5)))</formula>
    </cfRule>
    <cfRule type="containsText" dxfId="8" priority="11" operator="containsText" text="НТГ">
      <formula>NOT(ISERROR(SEARCH("НТГ",BL5)))</formula>
    </cfRule>
    <cfRule type="containsText" dxfId="7" priority="12" operator="containsText" text="ÍÒÃ">
      <formula>NOT(ISERROR(SEARCH("ÍÒÃ",BL5)))</formula>
    </cfRule>
    <cfRule type="containsText" dxfId="6" priority="13" operator="containsText" text="СХД">
      <formula>NOT(ISERROR(SEARCH("СХД",BL5)))</formula>
    </cfRule>
    <cfRule type="containsText" dxfId="5" priority="14" operator="containsText" text="ÑÕÄ">
      <formula>NOT(ISERROR(SEARCH("ÑÕÄ",BL5)))</formula>
    </cfRule>
    <cfRule type="containsText" dxfId="4" priority="15" operator="containsText" text="СБД">
      <formula>NOT(ISERROR(SEARCH("СБД",BL5)))</formula>
    </cfRule>
    <cfRule type="containsText" dxfId="3" priority="18" operator="containsText" text="ÑÁÄ">
      <formula>NOT(ISERROR(SEARCH("ÑÁÄ",BL5)))</formula>
    </cfRule>
    <cfRule type="containsText" dxfId="2" priority="19" operator="containsText" text="ÓÒÎÕÃ">
      <formula>NOT(ISERROR(SEARCH("ÓÒÎÕÃ",BL5)))</formula>
    </cfRule>
    <cfRule type="containsText" dxfId="1" priority="20" operator="containsText" text="ÓÒÎÕÃ">
      <formula>NOT(ISERROR(SEARCH("ÓÒÎÕÃ",BL5)))</formula>
    </cfRule>
  </conditionalFormatting>
  <conditionalFormatting sqref="BL92:RN92">
    <cfRule type="cellIs" dxfId="0" priority="1" operator="greaterThan">
      <formula>50000</formula>
    </cfRule>
  </conditionalFormatting>
  <pageMargins left="0.25" right="0.25" top="0.26" bottom="0.28999999999999998" header="0.2" footer="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R108"/>
  <sheetViews>
    <sheetView view="pageBreakPreview" zoomScaleSheetLayoutView="100" workbookViewId="0">
      <selection activeCell="B15" sqref="B15:C15"/>
    </sheetView>
  </sheetViews>
  <sheetFormatPr defaultColWidth="7.7109375" defaultRowHeight="11.25" x14ac:dyDescent="0.2"/>
  <cols>
    <col min="1" max="1" width="7.7109375" style="1"/>
    <col min="2" max="2" width="17.42578125" style="1" customWidth="1"/>
    <col min="3" max="3" width="43.28515625" style="1" customWidth="1"/>
    <col min="4" max="4" width="18.42578125" style="1" customWidth="1"/>
    <col min="5" max="5" width="9.42578125" style="7" customWidth="1"/>
    <col min="6" max="6" width="7.7109375" style="7"/>
    <col min="7" max="7" width="8.85546875" style="7" customWidth="1"/>
    <col min="8" max="8" width="7.7109375" style="7"/>
    <col min="9" max="9" width="9" style="7" customWidth="1"/>
    <col min="10" max="15" width="7.7109375" style="7"/>
    <col min="16" max="16" width="10" style="7" customWidth="1"/>
    <col min="17" max="26" width="7.7109375" style="7"/>
    <col min="27" max="27" width="9" style="7" customWidth="1"/>
    <col min="28" max="35" width="7.7109375" style="7"/>
    <col min="36" max="36" width="9" style="7" customWidth="1"/>
    <col min="37" max="37" width="9.140625" style="7" customWidth="1"/>
    <col min="38" max="39" width="7.7109375" style="7"/>
    <col min="40" max="40" width="9.28515625" style="7" customWidth="1"/>
    <col min="41" max="46" width="7.7109375" style="7"/>
    <col min="47" max="47" width="9.140625" style="7" customWidth="1"/>
    <col min="48" max="48" width="7.7109375" style="7"/>
    <col min="49" max="49" width="9.140625" style="7" customWidth="1"/>
    <col min="50" max="50" width="9.28515625" style="7" customWidth="1"/>
    <col min="51" max="51" width="10.42578125" style="7" customWidth="1"/>
    <col min="52" max="52" width="7.7109375" style="7"/>
    <col min="53" max="53" width="9.7109375" style="7" customWidth="1"/>
    <col min="54" max="56" width="7.7109375" style="7"/>
    <col min="57" max="57" width="8.85546875" style="7" customWidth="1"/>
    <col min="58" max="62" width="7.7109375" style="7"/>
    <col min="63" max="63" width="10.5703125" style="7" customWidth="1"/>
    <col min="64" max="64" width="10.28515625" style="7" customWidth="1"/>
    <col min="65" max="79" width="7.7109375" style="7"/>
    <col min="80" max="80" width="10.28515625" style="7" customWidth="1"/>
    <col min="81" max="82" width="7.7109375" style="7"/>
    <col min="83" max="83" width="7.42578125" style="7" customWidth="1"/>
    <col min="84" max="84" width="9.42578125" style="7" customWidth="1"/>
    <col min="85" max="85" width="7.7109375" style="7"/>
    <col min="86" max="86" width="9.140625" style="7" customWidth="1"/>
    <col min="87" max="108" width="7.7109375" style="7"/>
    <col min="109" max="109" width="8.5703125" style="7" customWidth="1"/>
    <col min="110" max="116" width="7.7109375" style="7"/>
    <col min="117" max="117" width="8.7109375" style="7" customWidth="1"/>
    <col min="118" max="118" width="9" style="7" customWidth="1"/>
    <col min="119" max="119" width="8.5703125" style="7" customWidth="1"/>
    <col min="120" max="126" width="7.7109375" style="7"/>
    <col min="127" max="127" width="8.7109375" style="7" customWidth="1"/>
    <col min="128" max="139" width="7.7109375" style="7"/>
    <col min="140" max="140" width="8.28515625" style="7" customWidth="1"/>
    <col min="141" max="143" width="7.7109375" style="7"/>
    <col min="144" max="144" width="8.85546875" style="7" customWidth="1"/>
    <col min="145" max="146" width="7.7109375" style="7"/>
    <col min="147" max="147" width="10.5703125" style="7" customWidth="1"/>
    <col min="148" max="148" width="7.7109375" style="7"/>
    <col min="149" max="149" width="9.42578125" style="7" customWidth="1"/>
    <col min="150" max="161" width="7.7109375" style="7"/>
    <col min="162" max="162" width="10" style="7" customWidth="1"/>
    <col min="163" max="163" width="7.7109375" style="7"/>
    <col min="164" max="164" width="8.5703125" style="7" customWidth="1"/>
    <col min="165" max="170" width="7.7109375" style="7"/>
    <col min="171" max="171" width="9.7109375" style="7" customWidth="1"/>
    <col min="172" max="183" width="7.7109375" style="7"/>
    <col min="184" max="184" width="8.140625" style="7" customWidth="1"/>
    <col min="185" max="191" width="7.7109375" style="7"/>
    <col min="192" max="192" width="9.42578125" style="7" customWidth="1"/>
    <col min="193" max="195" width="7.7109375" style="7"/>
    <col min="196" max="196" width="9.140625" style="7" customWidth="1"/>
    <col min="197" max="197" width="7.7109375" style="7"/>
    <col min="198" max="198" width="9.85546875" style="7" customWidth="1"/>
    <col min="199" max="199" width="7.7109375" style="7"/>
    <col min="200" max="200" width="9.85546875" style="7" customWidth="1"/>
    <col min="201" max="201" width="7.7109375" style="7"/>
    <col min="202" max="202" width="9.42578125" style="7" customWidth="1"/>
    <col min="203" max="206" width="7.7109375" style="7"/>
    <col min="207" max="207" width="8.28515625" style="7" customWidth="1"/>
    <col min="208" max="213" width="7.7109375" style="7"/>
    <col min="214" max="214" width="10.140625" style="7" customWidth="1"/>
    <col min="215" max="215" width="7.7109375" style="7"/>
    <col min="216" max="216" width="9.140625" style="7" customWidth="1"/>
    <col min="217" max="217" width="10.140625" style="7" customWidth="1"/>
    <col min="218" max="218" width="7.7109375" style="7"/>
    <col min="219" max="219" width="8.85546875" style="7" customWidth="1"/>
    <col min="220" max="234" width="7.7109375" style="7"/>
    <col min="235" max="235" width="10.42578125" style="7" customWidth="1"/>
    <col min="236" max="240" width="7.7109375" style="7"/>
    <col min="241" max="241" width="8" style="7" customWidth="1"/>
    <col min="242" max="253" width="7.7109375" style="7"/>
    <col min="254" max="254" width="8.85546875" style="7" customWidth="1"/>
    <col min="255" max="264" width="7.7109375" style="7"/>
    <col min="265" max="265" width="9.140625" style="7" customWidth="1"/>
    <col min="266" max="269" width="7.7109375" style="7"/>
    <col min="270" max="270" width="8.7109375" style="7" customWidth="1"/>
    <col min="271" max="273" width="7.7109375" style="7"/>
    <col min="274" max="274" width="9.42578125" style="7" customWidth="1"/>
    <col min="275" max="281" width="7.7109375" style="7"/>
    <col min="282" max="282" width="8.7109375" style="7" customWidth="1"/>
    <col min="283" max="285" width="7.7109375" style="7"/>
    <col min="286" max="286" width="8.7109375" style="7" customWidth="1"/>
    <col min="287" max="287" width="8.42578125" style="7" customWidth="1"/>
    <col min="288" max="291" width="7.7109375" style="7"/>
    <col min="292" max="292" width="13.28515625" style="7" customWidth="1"/>
    <col min="293" max="293" width="7.7109375" style="7"/>
    <col min="294" max="294" width="8.85546875" style="7" customWidth="1"/>
    <col min="295" max="319" width="7.7109375" style="7"/>
    <col min="320" max="320" width="10.140625" style="7" customWidth="1"/>
    <col min="321" max="337" width="7.7109375" style="7"/>
    <col min="338" max="338" width="9.28515625" style="7" customWidth="1"/>
    <col min="339" max="353" width="7.7109375" style="7"/>
    <col min="354" max="354" width="9.7109375" style="7" customWidth="1"/>
    <col min="355" max="358" width="7.7109375" style="7"/>
    <col min="359" max="359" width="10" style="7" customWidth="1"/>
    <col min="360" max="362" width="7.7109375" style="7"/>
    <col min="363" max="363" width="8.28515625" style="7" customWidth="1"/>
    <col min="364" max="364" width="9.85546875" style="7" customWidth="1"/>
    <col min="365" max="366" width="7.7109375" style="7"/>
    <col min="367" max="367" width="9.28515625" style="7" customWidth="1"/>
    <col min="368" max="368" width="9.140625" style="7" customWidth="1"/>
    <col min="369" max="374" width="7.7109375" style="7"/>
    <col min="375" max="375" width="9.28515625" style="7" customWidth="1"/>
    <col min="376" max="376" width="7.7109375" style="7"/>
    <col min="377" max="377" width="8.28515625" style="7" customWidth="1"/>
    <col min="378" max="393" width="7.7109375" style="7"/>
    <col min="394" max="394" width="8.7109375" style="7" customWidth="1"/>
    <col min="395" max="405" width="7.7109375" style="7"/>
    <col min="406" max="406" width="8.85546875" style="7" customWidth="1"/>
    <col min="407" max="412" width="7.7109375" style="7"/>
    <col min="413" max="413" width="10.140625" style="7" customWidth="1"/>
    <col min="414" max="436" width="7.7109375" style="7"/>
    <col min="437" max="437" width="10.140625" style="7" customWidth="1"/>
    <col min="438" max="443" width="7.7109375" style="7"/>
    <col min="444" max="444" width="8.28515625" style="7" customWidth="1"/>
    <col min="445" max="447" width="7.7109375" style="7"/>
    <col min="448" max="448" width="8.28515625" style="7" customWidth="1"/>
    <col min="449" max="461" width="7.7109375" style="7"/>
    <col min="462" max="462" width="9.28515625" style="7" customWidth="1"/>
    <col min="463" max="469" width="7.7109375" style="7"/>
    <col min="470" max="470" width="8.7109375" style="7" customWidth="1"/>
    <col min="471" max="471" width="7.7109375" style="7"/>
    <col min="472" max="472" width="8.28515625" style="7" customWidth="1"/>
    <col min="473" max="476" width="7.7109375" style="7"/>
    <col min="477" max="477" width="9.85546875" style="7" customWidth="1"/>
    <col min="478" max="483" width="7.7109375" style="7"/>
    <col min="484" max="486" width="7.7109375" style="22"/>
    <col min="487" max="16384" width="7.7109375" style="1"/>
  </cols>
  <sheetData>
    <row r="2" spans="1:483" ht="15" x14ac:dyDescent="0.25">
      <c r="A2" s="64" t="s">
        <v>834</v>
      </c>
      <c r="B2" s="62"/>
      <c r="C2" s="65"/>
      <c r="D2" s="65"/>
      <c r="E2" s="65"/>
      <c r="F2" s="65"/>
      <c r="G2" s="65"/>
      <c r="H2" s="65"/>
      <c r="I2" s="65"/>
      <c r="J2" s="65"/>
      <c r="K2" s="65"/>
      <c r="L2" s="65"/>
      <c r="M2" s="65"/>
      <c r="N2" s="65"/>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t="s">
        <v>902</v>
      </c>
      <c r="BJ2"/>
      <c r="BK2"/>
    </row>
    <row r="3" spans="1:483" ht="15" x14ac:dyDescent="0.25">
      <c r="A3" s="81" t="s">
        <v>836</v>
      </c>
      <c r="B3" s="62"/>
      <c r="C3" s="62"/>
      <c r="D3" s="62"/>
      <c r="E3" s="62"/>
      <c r="F3" s="62"/>
      <c r="G3" s="62"/>
      <c r="H3" s="62"/>
      <c r="I3" s="62"/>
      <c r="J3" s="62"/>
      <c r="K3" s="62"/>
      <c r="L3" s="62"/>
      <c r="M3" s="62"/>
      <c r="N3" s="62"/>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t="s">
        <v>902</v>
      </c>
      <c r="BJ3"/>
      <c r="BK3"/>
    </row>
    <row r="4" spans="1:483" ht="15.75" thickBot="1" x14ac:dyDescent="0.3">
      <c r="A4" s="67"/>
      <c r="B4" s="67"/>
      <c r="C4" s="67"/>
      <c r="D4" s="67"/>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7" t="s">
        <v>902</v>
      </c>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row>
    <row r="5" spans="1:483" s="2" customFormat="1" ht="11.25" customHeight="1" thickBot="1" x14ac:dyDescent="0.3">
      <c r="A5" s="185" t="s">
        <v>837</v>
      </c>
      <c r="B5" s="188" t="s">
        <v>0</v>
      </c>
      <c r="C5" s="189"/>
      <c r="D5" s="82"/>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t="s">
        <v>902</v>
      </c>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row>
    <row r="6" spans="1:483" s="2" customFormat="1" ht="11.25" customHeight="1" thickBot="1" x14ac:dyDescent="0.3">
      <c r="A6" s="186"/>
      <c r="B6" s="190" t="s">
        <v>838</v>
      </c>
      <c r="C6" s="191"/>
      <c r="D6" s="192" t="s">
        <v>839</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83"/>
      <c r="BI6" s="69"/>
      <c r="BJ6" s="69"/>
      <c r="BK6" s="69" t="s">
        <v>835</v>
      </c>
      <c r="BL6" s="8"/>
      <c r="BM6" s="8"/>
      <c r="BN6" s="8"/>
      <c r="BO6" s="8"/>
      <c r="BP6" s="8"/>
      <c r="BQ6" s="8"/>
      <c r="BR6" s="8"/>
      <c r="BS6" s="8"/>
      <c r="BT6" s="24"/>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25"/>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26"/>
      <c r="EM6" s="8"/>
      <c r="EN6" s="8"/>
      <c r="EO6" s="8"/>
      <c r="EP6" s="8"/>
      <c r="EQ6" s="8"/>
      <c r="ER6" s="8"/>
      <c r="ES6" s="8"/>
      <c r="ET6" s="8"/>
      <c r="EU6" s="8"/>
      <c r="EV6" s="8"/>
      <c r="EW6" s="8"/>
      <c r="EX6" s="8"/>
      <c r="EY6" s="8"/>
      <c r="EZ6" s="8"/>
      <c r="FA6" s="8"/>
      <c r="FB6" s="8"/>
      <c r="FC6" s="8"/>
      <c r="FD6" s="8"/>
      <c r="FE6" s="8"/>
      <c r="FF6" s="8"/>
      <c r="FG6" s="8"/>
      <c r="FH6" s="8"/>
      <c r="FI6" s="8"/>
      <c r="FJ6" s="8"/>
      <c r="FK6" s="23"/>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23"/>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23"/>
      <c r="KI6" s="8"/>
      <c r="KJ6" s="8"/>
      <c r="KK6" s="8"/>
      <c r="KL6" s="8"/>
      <c r="KM6" s="8"/>
      <c r="KN6" s="27"/>
      <c r="KO6" s="8"/>
      <c r="KP6" s="28"/>
      <c r="KQ6" s="8"/>
      <c r="KR6" s="8"/>
      <c r="KS6" s="8"/>
      <c r="KT6" s="8"/>
      <c r="KU6" s="8"/>
      <c r="KV6" s="8"/>
      <c r="KW6" s="8"/>
      <c r="KX6" s="8"/>
      <c r="KY6" s="8"/>
      <c r="KZ6" s="8"/>
      <c r="LA6" s="8"/>
      <c r="LB6" s="8"/>
      <c r="LC6" s="29"/>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30"/>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31"/>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row>
    <row r="7" spans="1:483" s="41" customFormat="1" ht="11.25" customHeight="1" thickBot="1" x14ac:dyDescent="0.25">
      <c r="A7" s="186"/>
      <c r="B7" s="190" t="s">
        <v>840</v>
      </c>
      <c r="C7" s="195"/>
      <c r="D7" s="193"/>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5"/>
      <c r="BI7" s="84"/>
      <c r="BJ7" s="84"/>
      <c r="BK7" s="84" t="s">
        <v>835</v>
      </c>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4"/>
      <c r="DO7" s="32"/>
      <c r="DP7" s="32"/>
      <c r="DQ7" s="32"/>
      <c r="DR7" s="32"/>
      <c r="DS7" s="32"/>
      <c r="DT7" s="32"/>
      <c r="DU7" s="32"/>
      <c r="DV7" s="32"/>
      <c r="DW7" s="32"/>
      <c r="DX7" s="32"/>
      <c r="DY7" s="32"/>
      <c r="DZ7" s="32"/>
      <c r="EA7" s="32"/>
      <c r="EB7" s="32"/>
      <c r="EC7" s="32"/>
      <c r="ED7" s="32"/>
      <c r="EE7" s="32"/>
      <c r="EF7" s="32"/>
      <c r="EG7" s="32"/>
      <c r="EH7" s="32"/>
      <c r="EI7" s="32"/>
      <c r="EJ7" s="32"/>
      <c r="EK7" s="32"/>
      <c r="EL7" s="35"/>
      <c r="EM7" s="32"/>
      <c r="EN7" s="32"/>
      <c r="EO7" s="32"/>
      <c r="EP7" s="32"/>
      <c r="EQ7" s="32"/>
      <c r="ER7" s="32"/>
      <c r="ES7" s="32"/>
      <c r="ET7" s="32"/>
      <c r="EU7" s="32"/>
      <c r="EV7" s="32"/>
      <c r="EW7" s="32"/>
      <c r="EX7" s="32"/>
      <c r="EY7" s="32"/>
      <c r="EZ7" s="32"/>
      <c r="FA7" s="32"/>
      <c r="FB7" s="32"/>
      <c r="FC7" s="32"/>
      <c r="FD7" s="32"/>
      <c r="FE7" s="32"/>
      <c r="FF7" s="32"/>
      <c r="FG7" s="32"/>
      <c r="FH7" s="32"/>
      <c r="FI7" s="32"/>
      <c r="FJ7" s="32"/>
      <c r="FK7" s="33"/>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3"/>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3"/>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3"/>
      <c r="KI7" s="32"/>
      <c r="KJ7" s="32"/>
      <c r="KK7" s="32"/>
      <c r="KL7" s="32"/>
      <c r="KM7" s="32"/>
      <c r="KN7" s="36"/>
      <c r="KO7" s="32"/>
      <c r="KP7" s="37"/>
      <c r="KQ7" s="32"/>
      <c r="KR7" s="32"/>
      <c r="KS7" s="32"/>
      <c r="KT7" s="32"/>
      <c r="KU7" s="32"/>
      <c r="KV7" s="32"/>
      <c r="KW7" s="32"/>
      <c r="KX7" s="32"/>
      <c r="KY7" s="32"/>
      <c r="KZ7" s="32"/>
      <c r="LA7" s="32"/>
      <c r="LB7" s="32"/>
      <c r="LC7" s="38"/>
      <c r="LD7" s="32"/>
      <c r="LE7" s="32"/>
      <c r="LF7" s="32"/>
      <c r="LG7" s="32"/>
      <c r="LH7" s="32"/>
      <c r="LI7" s="32"/>
      <c r="LJ7" s="32"/>
      <c r="LK7" s="32"/>
      <c r="LL7" s="32"/>
      <c r="LM7" s="39"/>
      <c r="LN7" s="39"/>
      <c r="LO7" s="39"/>
      <c r="LP7" s="39"/>
      <c r="LQ7" s="39"/>
      <c r="LR7" s="39"/>
      <c r="LS7" s="39"/>
      <c r="LT7" s="39"/>
      <c r="LU7" s="39"/>
      <c r="LV7" s="39"/>
      <c r="LW7" s="39"/>
      <c r="LX7" s="32"/>
      <c r="LY7" s="32"/>
      <c r="LZ7" s="32"/>
      <c r="MA7" s="32"/>
      <c r="MB7" s="39"/>
      <c r="MC7" s="39"/>
      <c r="MD7" s="39"/>
      <c r="ME7" s="39"/>
      <c r="MF7" s="32"/>
      <c r="MG7" s="32"/>
      <c r="MH7" s="32"/>
      <c r="MI7" s="32"/>
      <c r="MJ7" s="32"/>
      <c r="MK7" s="32"/>
      <c r="ML7" s="32"/>
      <c r="MM7" s="32"/>
      <c r="MN7" s="32"/>
      <c r="MO7" s="32"/>
      <c r="MP7" s="32"/>
      <c r="MQ7" s="32"/>
      <c r="MR7" s="32"/>
      <c r="MS7" s="39"/>
      <c r="MT7" s="39"/>
      <c r="MU7" s="39"/>
      <c r="MV7" s="32"/>
      <c r="MW7" s="32"/>
      <c r="MX7" s="32"/>
      <c r="MY7" s="32"/>
      <c r="MZ7" s="39"/>
      <c r="NA7" s="32"/>
      <c r="NB7" s="32"/>
      <c r="NC7" s="32"/>
      <c r="ND7" s="32"/>
      <c r="NE7" s="7"/>
      <c r="NF7" s="32"/>
      <c r="NG7" s="32"/>
      <c r="NH7" s="32"/>
      <c r="NI7" s="32"/>
      <c r="NJ7" s="32"/>
      <c r="NK7" s="39"/>
      <c r="NL7" s="39"/>
      <c r="NM7" s="32"/>
      <c r="NN7" s="32"/>
      <c r="NO7" s="32"/>
      <c r="NP7" s="32"/>
      <c r="NQ7" s="32"/>
      <c r="NR7" s="32"/>
      <c r="NS7" s="39"/>
      <c r="NT7" s="39"/>
      <c r="NU7" s="32"/>
      <c r="NV7" s="39"/>
      <c r="NW7" s="32"/>
      <c r="NX7" s="32"/>
      <c r="NY7" s="39"/>
      <c r="NZ7" s="39"/>
      <c r="OA7" s="39"/>
      <c r="OB7" s="32"/>
      <c r="OC7" s="32"/>
      <c r="OD7" s="40"/>
      <c r="OE7" s="32"/>
      <c r="OF7" s="32"/>
      <c r="OG7" s="32"/>
      <c r="OH7" s="32"/>
      <c r="OI7" s="32"/>
      <c r="OJ7" s="32"/>
      <c r="OK7" s="32"/>
      <c r="OL7" s="32"/>
      <c r="OM7" s="32"/>
      <c r="ON7" s="32"/>
      <c r="OO7" s="32"/>
      <c r="OP7" s="32"/>
      <c r="OQ7" s="32"/>
      <c r="OR7" s="32"/>
      <c r="OS7" s="32"/>
      <c r="OT7" s="32"/>
      <c r="OU7" s="32"/>
      <c r="OV7" s="32"/>
      <c r="OW7" s="34"/>
      <c r="OX7" s="32"/>
      <c r="OY7" s="32"/>
      <c r="OZ7" s="32"/>
      <c r="PA7" s="32"/>
      <c r="PB7" s="32"/>
      <c r="PC7" s="32"/>
      <c r="PD7" s="32"/>
      <c r="PE7" s="32"/>
      <c r="PF7" s="32"/>
      <c r="PG7" s="32"/>
      <c r="PH7" s="32"/>
      <c r="PI7" s="32"/>
      <c r="PJ7" s="32"/>
      <c r="PK7" s="32"/>
      <c r="PL7" s="32"/>
      <c r="PM7" s="32"/>
      <c r="PN7" s="32"/>
      <c r="PO7" s="32"/>
      <c r="PP7" s="32"/>
      <c r="PQ7" s="32"/>
      <c r="PR7" s="32"/>
      <c r="PS7" s="32"/>
      <c r="PT7" s="32"/>
      <c r="PU7" s="39"/>
      <c r="PV7" s="39"/>
      <c r="PW7" s="39"/>
      <c r="PX7" s="39"/>
      <c r="PY7" s="39"/>
      <c r="PZ7" s="39"/>
      <c r="QA7" s="39"/>
      <c r="QB7" s="39"/>
      <c r="QC7" s="39"/>
      <c r="QD7" s="39"/>
      <c r="QE7" s="39"/>
      <c r="QF7" s="39"/>
      <c r="QG7" s="39"/>
      <c r="QH7" s="39"/>
      <c r="QI7" s="32"/>
      <c r="QJ7" s="39"/>
      <c r="QK7" s="32"/>
      <c r="QL7" s="39"/>
      <c r="QM7" s="39"/>
      <c r="QN7" s="39"/>
      <c r="QO7" s="39"/>
      <c r="QP7" s="39"/>
      <c r="QQ7" s="39"/>
      <c r="QR7" s="39"/>
      <c r="QS7" s="39"/>
      <c r="QT7" s="39"/>
      <c r="QU7" s="39"/>
      <c r="QV7" s="39"/>
      <c r="QW7" s="39"/>
      <c r="QX7" s="39"/>
      <c r="QY7" s="39"/>
      <c r="QZ7" s="39"/>
      <c r="RA7" s="39"/>
      <c r="RB7" s="39"/>
      <c r="RC7" s="39"/>
      <c r="RD7" s="39"/>
      <c r="RE7" s="39"/>
      <c r="RF7" s="39"/>
      <c r="RG7" s="39"/>
      <c r="RH7" s="39"/>
      <c r="RI7" s="39"/>
      <c r="RJ7" s="32"/>
      <c r="RK7" s="32"/>
      <c r="RL7" s="39"/>
      <c r="RM7" s="32"/>
      <c r="RN7" s="32"/>
      <c r="RO7" s="32"/>
    </row>
    <row r="8" spans="1:483" s="46" customFormat="1" ht="11.25" customHeight="1" thickBot="1" x14ac:dyDescent="0.25">
      <c r="A8" s="186"/>
      <c r="B8" s="190" t="s">
        <v>850</v>
      </c>
      <c r="C8" s="195"/>
      <c r="D8" s="193"/>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7"/>
      <c r="BI8" s="86"/>
      <c r="BJ8" s="86"/>
      <c r="BK8" s="86" t="s">
        <v>835</v>
      </c>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43"/>
      <c r="DI8" s="34"/>
      <c r="DJ8" s="34"/>
      <c r="DK8" s="34"/>
      <c r="DL8" s="34"/>
      <c r="DM8" s="34"/>
      <c r="DN8" s="42"/>
      <c r="DO8" s="42"/>
      <c r="DP8" s="42"/>
      <c r="DQ8" s="42"/>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42"/>
      <c r="KZ8" s="42"/>
      <c r="LA8" s="42"/>
      <c r="LB8" s="42"/>
      <c r="LC8" s="44"/>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34"/>
      <c r="MG8" s="34"/>
      <c r="MH8" s="34"/>
      <c r="MI8" s="34"/>
      <c r="MJ8" s="34"/>
      <c r="MK8" s="34"/>
      <c r="ML8" s="34"/>
      <c r="MM8" s="34"/>
      <c r="MN8" s="34"/>
      <c r="MO8" s="34"/>
      <c r="MP8" s="34"/>
      <c r="MQ8" s="34"/>
      <c r="MR8" s="34"/>
      <c r="MS8" s="42"/>
      <c r="MT8" s="42"/>
      <c r="MU8" s="42"/>
      <c r="MV8" s="42"/>
      <c r="MW8" s="42"/>
      <c r="MX8" s="32"/>
      <c r="MY8" s="42"/>
      <c r="MZ8" s="42"/>
      <c r="NA8" s="42"/>
      <c r="NB8" s="42"/>
      <c r="NC8" s="42"/>
      <c r="ND8" s="42"/>
      <c r="NE8" s="42"/>
      <c r="NF8" s="42"/>
      <c r="NG8" s="42"/>
      <c r="NH8" s="42"/>
      <c r="NI8" s="42"/>
      <c r="NJ8" s="34"/>
      <c r="NK8" s="42"/>
      <c r="NL8" s="42"/>
      <c r="NM8" s="42"/>
      <c r="NN8" s="42"/>
      <c r="NO8" s="34"/>
      <c r="NP8" s="34"/>
      <c r="NQ8" s="42"/>
      <c r="NR8" s="42"/>
      <c r="NS8" s="42"/>
      <c r="NT8" s="42"/>
      <c r="NU8" s="42"/>
      <c r="NV8" s="42"/>
      <c r="NW8" s="42"/>
      <c r="NX8" s="34"/>
      <c r="NY8" s="42"/>
      <c r="NZ8" s="42"/>
      <c r="OA8" s="42"/>
      <c r="OB8" s="42"/>
      <c r="OC8" s="34"/>
      <c r="OD8" s="45"/>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9"/>
      <c r="PG8" s="9"/>
      <c r="PH8" s="42"/>
      <c r="PI8" s="9"/>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row>
    <row r="9" spans="1:483" s="41" customFormat="1" ht="11.25" customHeight="1" thickBot="1" x14ac:dyDescent="0.25">
      <c r="A9" s="186"/>
      <c r="B9" s="190" t="s">
        <v>851</v>
      </c>
      <c r="C9" s="191"/>
      <c r="D9" s="193"/>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5"/>
      <c r="BI9" s="84"/>
      <c r="BJ9" s="84"/>
      <c r="BK9" s="84" t="s">
        <v>835</v>
      </c>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47"/>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5"/>
      <c r="EM9" s="32"/>
      <c r="EN9" s="32"/>
      <c r="EO9" s="32"/>
      <c r="EP9" s="32"/>
      <c r="EQ9" s="32"/>
      <c r="ER9" s="32"/>
      <c r="ES9" s="32"/>
      <c r="ET9" s="32"/>
      <c r="EU9" s="32"/>
      <c r="EV9" s="32"/>
      <c r="EW9" s="32"/>
      <c r="EX9" s="32"/>
      <c r="EY9" s="32"/>
      <c r="EZ9" s="32"/>
      <c r="FA9" s="32"/>
      <c r="FB9" s="32"/>
      <c r="FC9" s="32"/>
      <c r="FD9" s="32"/>
      <c r="FE9" s="32"/>
      <c r="FF9" s="32"/>
      <c r="FG9" s="32"/>
      <c r="FH9" s="32"/>
      <c r="FI9" s="32"/>
      <c r="FJ9" s="32"/>
      <c r="FK9" s="33"/>
      <c r="FL9" s="33"/>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3"/>
      <c r="KI9" s="32"/>
      <c r="KJ9" s="32"/>
      <c r="KK9" s="32"/>
      <c r="KL9" s="32"/>
      <c r="KM9" s="32"/>
      <c r="KN9" s="36"/>
      <c r="KO9" s="36"/>
      <c r="KP9" s="32"/>
      <c r="KQ9" s="32"/>
      <c r="KR9" s="32"/>
      <c r="KS9" s="32"/>
      <c r="KT9" s="32"/>
      <c r="KU9" s="32"/>
      <c r="KV9" s="32"/>
      <c r="KW9" s="32"/>
      <c r="KX9" s="9"/>
      <c r="KY9" s="9"/>
      <c r="KZ9" s="9"/>
      <c r="LA9" s="9"/>
      <c r="LB9" s="9"/>
      <c r="LC9" s="48"/>
      <c r="LD9" s="9"/>
      <c r="LE9" s="9"/>
      <c r="LF9" s="9"/>
      <c r="LG9" s="9"/>
      <c r="LH9" s="9"/>
      <c r="LI9" s="9"/>
      <c r="LJ9" s="9"/>
      <c r="LK9" s="9"/>
      <c r="LL9" s="9"/>
      <c r="LM9" s="9"/>
      <c r="LN9" s="9"/>
      <c r="LO9" s="9"/>
      <c r="LP9" s="32"/>
      <c r="LQ9" s="32"/>
      <c r="LR9" s="32"/>
      <c r="LS9" s="32"/>
      <c r="LT9" s="32"/>
      <c r="LU9" s="32"/>
      <c r="LV9" s="32"/>
      <c r="LW9" s="32"/>
      <c r="LX9" s="32"/>
      <c r="LY9" s="32"/>
      <c r="LZ9" s="32"/>
      <c r="MA9" s="32"/>
      <c r="MB9" s="32"/>
      <c r="MC9" s="32"/>
      <c r="MD9" s="32"/>
      <c r="ME9" s="32"/>
      <c r="MF9" s="34"/>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9"/>
      <c r="NK9" s="32"/>
      <c r="NL9" s="32"/>
      <c r="NM9" s="32"/>
      <c r="NN9" s="9"/>
      <c r="NO9" s="9"/>
      <c r="NP9" s="9"/>
      <c r="NQ9" s="9"/>
      <c r="NR9" s="9"/>
      <c r="NS9" s="32"/>
      <c r="NT9" s="9"/>
      <c r="NU9" s="32"/>
      <c r="NV9" s="32"/>
      <c r="NW9" s="32"/>
      <c r="NX9" s="32"/>
      <c r="NY9" s="32"/>
      <c r="NZ9" s="32"/>
      <c r="OA9" s="32"/>
      <c r="OB9" s="9"/>
      <c r="OC9" s="9"/>
      <c r="OD9" s="49"/>
      <c r="OE9" s="9"/>
      <c r="OF9" s="9"/>
      <c r="OG9" s="9"/>
      <c r="OH9" s="9"/>
      <c r="OI9" s="9"/>
      <c r="OJ9" s="9"/>
      <c r="OK9" s="9"/>
      <c r="OL9" s="9"/>
      <c r="OM9" s="9"/>
      <c r="ON9" s="9"/>
      <c r="OO9" s="9"/>
      <c r="OP9" s="9"/>
      <c r="OQ9" s="9"/>
      <c r="OR9" s="9"/>
      <c r="OS9" s="9"/>
      <c r="OT9" s="9"/>
      <c r="OU9" s="9"/>
      <c r="OV9" s="9"/>
      <c r="OW9" s="32"/>
      <c r="OX9" s="9"/>
      <c r="OY9" s="9"/>
      <c r="OZ9" s="9"/>
      <c r="PA9" s="9"/>
      <c r="PB9" s="9"/>
      <c r="PC9" s="9"/>
      <c r="PD9" s="9"/>
      <c r="PE9" s="9"/>
      <c r="PF9" s="9"/>
      <c r="PG9" s="9"/>
      <c r="PH9" s="42"/>
      <c r="PI9" s="9"/>
      <c r="PJ9" s="42"/>
      <c r="PK9" s="9"/>
      <c r="PL9" s="9"/>
      <c r="PM9" s="9"/>
      <c r="PN9" s="9"/>
      <c r="PO9" s="9"/>
      <c r="PP9" s="9"/>
      <c r="PQ9" s="9"/>
      <c r="PR9" s="9"/>
      <c r="PS9" s="9"/>
      <c r="PT9" s="9"/>
      <c r="PU9" s="9"/>
      <c r="PV9" s="9"/>
      <c r="PW9" s="9"/>
      <c r="PX9" s="9"/>
      <c r="PY9" s="9"/>
      <c r="PZ9" s="9"/>
      <c r="QA9" s="9"/>
      <c r="QB9" s="9"/>
      <c r="QC9" s="9"/>
      <c r="QD9" s="9"/>
      <c r="QE9" s="9"/>
      <c r="QF9" s="9"/>
      <c r="QG9" s="9"/>
      <c r="QH9" s="32"/>
      <c r="QI9" s="9"/>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row>
    <row r="10" spans="1:483" s="2" customFormat="1" ht="11.25" customHeight="1" thickBot="1" x14ac:dyDescent="0.3">
      <c r="A10" s="186"/>
      <c r="B10" s="190" t="s">
        <v>852</v>
      </c>
      <c r="C10" s="191"/>
      <c r="D10" s="193"/>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t="s">
        <v>835</v>
      </c>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51"/>
      <c r="DI10" s="8"/>
      <c r="DJ10" s="8"/>
      <c r="DK10" s="8"/>
      <c r="DL10" s="8"/>
      <c r="DM10" s="8"/>
      <c r="DN10" s="50"/>
      <c r="DO10" s="8"/>
      <c r="DP10" s="8"/>
      <c r="DQ10" s="8"/>
      <c r="DR10" s="8"/>
      <c r="DS10" s="8"/>
      <c r="DT10" s="8"/>
      <c r="DU10" s="8"/>
      <c r="DV10" s="8"/>
      <c r="DW10" s="8"/>
      <c r="DX10" s="8"/>
      <c r="DY10" s="8"/>
      <c r="DZ10" s="8"/>
      <c r="EA10" s="8"/>
      <c r="EB10" s="8"/>
      <c r="EC10" s="8"/>
      <c r="ED10" s="8"/>
      <c r="EE10" s="8"/>
      <c r="EF10" s="8"/>
      <c r="EG10" s="8"/>
      <c r="EH10" s="8"/>
      <c r="EI10" s="8"/>
      <c r="EJ10" s="8"/>
      <c r="EK10" s="8"/>
      <c r="EL10" s="26"/>
      <c r="EM10" s="8"/>
      <c r="EN10" s="8"/>
      <c r="EO10" s="8"/>
      <c r="EP10" s="8"/>
      <c r="EQ10" s="8"/>
      <c r="ER10" s="8"/>
      <c r="ES10" s="8"/>
      <c r="ET10" s="8"/>
      <c r="EU10" s="8"/>
      <c r="EV10" s="8"/>
      <c r="EW10" s="8"/>
      <c r="EX10" s="8"/>
      <c r="EY10" s="8"/>
      <c r="EZ10" s="8"/>
      <c r="FA10" s="8"/>
      <c r="FB10" s="8"/>
      <c r="FC10" s="8"/>
      <c r="FD10" s="8"/>
      <c r="FE10" s="8"/>
      <c r="FF10" s="8"/>
      <c r="FG10" s="8"/>
      <c r="FH10" s="8"/>
      <c r="FI10" s="8"/>
      <c r="FJ10" s="8"/>
      <c r="FK10" s="23"/>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23"/>
      <c r="KI10" s="8"/>
      <c r="KJ10" s="8"/>
      <c r="KK10" s="8"/>
      <c r="KL10" s="8"/>
      <c r="KM10" s="8"/>
      <c r="KN10" s="8"/>
      <c r="KO10" s="8"/>
      <c r="KP10" s="8"/>
      <c r="KQ10" s="8"/>
      <c r="KR10" s="8"/>
      <c r="KS10" s="8"/>
      <c r="KT10" s="8"/>
      <c r="KU10" s="8"/>
      <c r="KV10" s="8"/>
      <c r="KW10" s="8"/>
      <c r="KX10" s="8"/>
      <c r="KY10" s="50"/>
      <c r="KZ10" s="50"/>
      <c r="LA10" s="50"/>
      <c r="LB10" s="50"/>
      <c r="LC10" s="52"/>
      <c r="LD10" s="50"/>
      <c r="LE10" s="50"/>
      <c r="LF10" s="50"/>
      <c r="LG10" s="50"/>
      <c r="LH10" s="50"/>
      <c r="LI10" s="50"/>
      <c r="LJ10" s="50"/>
      <c r="LK10" s="50"/>
      <c r="LL10" s="50"/>
      <c r="LM10" s="50"/>
      <c r="LN10" s="50"/>
      <c r="LO10" s="50"/>
      <c r="LP10" s="50"/>
      <c r="LQ10" s="50"/>
      <c r="LR10" s="50"/>
      <c r="LS10" s="50"/>
      <c r="LT10" s="50"/>
      <c r="LU10" s="50"/>
      <c r="LV10" s="50"/>
      <c r="LW10" s="50"/>
      <c r="LX10" s="50"/>
      <c r="LY10" s="50"/>
      <c r="LZ10" s="50"/>
      <c r="MA10" s="50"/>
      <c r="MB10" s="50"/>
      <c r="MC10" s="50"/>
      <c r="MD10" s="50"/>
      <c r="ME10" s="50"/>
      <c r="MF10" s="50"/>
      <c r="MG10" s="50"/>
      <c r="MH10" s="50"/>
      <c r="MI10" s="50"/>
      <c r="MJ10" s="50"/>
      <c r="MK10" s="50"/>
      <c r="ML10" s="50"/>
      <c r="MM10" s="50"/>
      <c r="MN10" s="50"/>
      <c r="MO10" s="50"/>
      <c r="MP10" s="50"/>
      <c r="MQ10" s="50"/>
      <c r="MR10" s="50"/>
      <c r="MS10" s="50"/>
      <c r="MT10" s="50"/>
      <c r="MU10" s="50"/>
      <c r="MV10" s="50"/>
      <c r="MW10" s="50"/>
      <c r="MX10" s="50"/>
      <c r="MY10" s="50"/>
      <c r="MZ10" s="50"/>
      <c r="NA10" s="50"/>
      <c r="NB10" s="50"/>
      <c r="NC10" s="50"/>
      <c r="ND10" s="8"/>
      <c r="NE10" s="8"/>
      <c r="NF10" s="8"/>
      <c r="NG10" s="8"/>
      <c r="NH10" s="8"/>
      <c r="NI10" s="8"/>
      <c r="NJ10" s="50"/>
      <c r="NK10" s="50"/>
      <c r="NL10" s="50"/>
      <c r="NM10" s="50"/>
      <c r="NN10" s="50"/>
      <c r="NO10" s="50"/>
      <c r="NP10" s="50"/>
      <c r="NQ10" s="50"/>
      <c r="NR10" s="50"/>
      <c r="NS10" s="50"/>
      <c r="NT10" s="50"/>
      <c r="NU10" s="50"/>
      <c r="NV10" s="50"/>
      <c r="NW10" s="50"/>
      <c r="NX10" s="8"/>
      <c r="NY10" s="50"/>
      <c r="NZ10" s="50"/>
      <c r="OA10" s="50"/>
      <c r="OB10" s="50"/>
      <c r="OC10" s="50"/>
      <c r="OD10" s="53"/>
      <c r="OE10" s="50"/>
      <c r="OF10" s="50"/>
      <c r="OG10" s="50"/>
      <c r="OH10" s="50"/>
      <c r="OI10" s="50"/>
      <c r="OJ10" s="50"/>
      <c r="OK10" s="50"/>
      <c r="OL10" s="50"/>
      <c r="OM10" s="50"/>
      <c r="ON10" s="50"/>
      <c r="OO10" s="50"/>
      <c r="OP10" s="50"/>
      <c r="OQ10" s="50"/>
      <c r="OR10" s="50"/>
      <c r="OS10" s="50"/>
      <c r="OT10" s="50"/>
      <c r="OU10" s="50"/>
      <c r="OV10" s="50"/>
      <c r="OW10" s="50"/>
      <c r="OX10" s="50"/>
      <c r="OY10" s="50"/>
      <c r="OZ10" s="50"/>
      <c r="PA10" s="50"/>
      <c r="PB10" s="50"/>
      <c r="PC10" s="50"/>
      <c r="PD10" s="50"/>
      <c r="PE10" s="50"/>
      <c r="PF10" s="50"/>
      <c r="PG10" s="50"/>
      <c r="PH10" s="50"/>
      <c r="PI10" s="50"/>
      <c r="PJ10" s="50"/>
      <c r="PK10" s="50"/>
      <c r="PL10" s="50"/>
      <c r="PM10" s="50"/>
      <c r="PN10" s="50"/>
      <c r="PO10" s="50"/>
      <c r="PP10" s="50"/>
      <c r="PQ10" s="50"/>
      <c r="PR10" s="50"/>
      <c r="PS10" s="50"/>
      <c r="PT10" s="50"/>
      <c r="PU10" s="50"/>
      <c r="PV10" s="50"/>
      <c r="PW10" s="50"/>
      <c r="PX10" s="50"/>
      <c r="PY10" s="50"/>
      <c r="PZ10" s="50"/>
      <c r="QA10" s="50"/>
      <c r="QB10" s="50"/>
      <c r="QC10" s="50"/>
      <c r="QD10" s="50"/>
      <c r="QE10" s="50"/>
      <c r="QF10" s="50"/>
      <c r="QG10" s="50"/>
      <c r="QH10" s="50"/>
      <c r="QI10" s="50"/>
      <c r="QJ10" s="50"/>
      <c r="QK10" s="50"/>
      <c r="QL10" s="50"/>
      <c r="QM10" s="50"/>
      <c r="QN10" s="50"/>
      <c r="QO10" s="50"/>
      <c r="QP10" s="50"/>
      <c r="QQ10" s="50"/>
      <c r="QR10" s="50"/>
      <c r="QS10" s="50"/>
      <c r="QT10" s="50"/>
      <c r="QU10" s="50"/>
      <c r="QV10" s="50"/>
      <c r="QW10" s="50"/>
      <c r="QX10" s="50"/>
      <c r="QY10" s="8"/>
      <c r="QZ10" s="50"/>
      <c r="RA10" s="50"/>
      <c r="RB10" s="50"/>
      <c r="RC10" s="50"/>
      <c r="RD10" s="50"/>
      <c r="RE10" s="50"/>
      <c r="RF10" s="50"/>
      <c r="RG10" s="50"/>
      <c r="RH10" s="50"/>
      <c r="RI10" s="50"/>
      <c r="RJ10" s="50"/>
      <c r="RK10" s="50"/>
      <c r="RL10" s="50"/>
      <c r="RM10" s="50"/>
      <c r="RN10" s="50"/>
      <c r="RO10" s="50"/>
    </row>
    <row r="11" spans="1:483" s="2" customFormat="1" ht="11.25" customHeight="1" thickBot="1" x14ac:dyDescent="0.3">
      <c r="A11" s="187"/>
      <c r="B11" s="190" t="s">
        <v>731</v>
      </c>
      <c r="C11" s="195"/>
      <c r="D11" s="194"/>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t="s">
        <v>835</v>
      </c>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51"/>
      <c r="DI11" s="8"/>
      <c r="DJ11" s="8"/>
      <c r="DK11" s="8"/>
      <c r="DL11" s="8"/>
      <c r="DM11" s="8"/>
      <c r="DN11" s="50"/>
      <c r="DO11" s="8"/>
      <c r="DP11" s="8"/>
      <c r="DQ11" s="8"/>
      <c r="DR11" s="8"/>
      <c r="DS11" s="8"/>
      <c r="DT11" s="8"/>
      <c r="DU11" s="8"/>
      <c r="DV11" s="8"/>
      <c r="DW11" s="8"/>
      <c r="DX11" s="8"/>
      <c r="DY11" s="8"/>
      <c r="DZ11" s="8"/>
      <c r="EA11" s="8"/>
      <c r="EB11" s="8"/>
      <c r="EC11" s="8"/>
      <c r="ED11" s="8"/>
      <c r="EE11" s="8"/>
      <c r="EF11" s="8"/>
      <c r="EG11" s="8"/>
      <c r="EH11" s="8"/>
      <c r="EI11" s="8"/>
      <c r="EJ11" s="8"/>
      <c r="EK11" s="8"/>
      <c r="EL11" s="26"/>
      <c r="EM11" s="8"/>
      <c r="EN11" s="8"/>
      <c r="EO11" s="8"/>
      <c r="EP11" s="8"/>
      <c r="EQ11" s="8"/>
      <c r="ER11" s="8"/>
      <c r="ES11" s="8"/>
      <c r="ET11" s="8"/>
      <c r="EU11" s="8"/>
      <c r="EV11" s="8"/>
      <c r="EW11" s="8"/>
      <c r="EX11" s="8"/>
      <c r="EY11" s="8"/>
      <c r="EZ11" s="8"/>
      <c r="FA11" s="8"/>
      <c r="FB11" s="8"/>
      <c r="FC11" s="8"/>
      <c r="FD11" s="8"/>
      <c r="FE11" s="8"/>
      <c r="FF11" s="8"/>
      <c r="FG11" s="8"/>
      <c r="FH11" s="8"/>
      <c r="FI11" s="8"/>
      <c r="FJ11" s="8"/>
      <c r="FK11" s="23"/>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23"/>
      <c r="KI11" s="8"/>
      <c r="KJ11" s="8"/>
      <c r="KK11" s="8"/>
      <c r="KL11" s="8"/>
      <c r="KM11" s="8"/>
      <c r="KN11" s="8"/>
      <c r="KO11" s="8"/>
      <c r="KP11" s="8"/>
      <c r="KQ11" s="8"/>
      <c r="KR11" s="8"/>
      <c r="KS11" s="8"/>
      <c r="KT11" s="8"/>
      <c r="KU11" s="8"/>
      <c r="KV11" s="8"/>
      <c r="KW11" s="8"/>
      <c r="KX11" s="8"/>
      <c r="KY11" s="50"/>
      <c r="KZ11" s="50"/>
      <c r="LA11" s="50"/>
      <c r="LB11" s="50"/>
      <c r="LC11" s="52"/>
      <c r="LD11" s="50"/>
      <c r="LE11" s="50"/>
      <c r="LF11" s="50"/>
      <c r="LG11" s="50"/>
      <c r="LH11" s="50"/>
      <c r="LI11" s="50"/>
      <c r="LJ11" s="50"/>
      <c r="LK11" s="50"/>
      <c r="LL11" s="50"/>
      <c r="LM11" s="11"/>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8"/>
      <c r="NE11" s="8"/>
      <c r="NF11" s="8"/>
      <c r="NG11" s="8"/>
      <c r="NH11" s="8"/>
      <c r="NI11" s="8"/>
      <c r="NJ11" s="50"/>
      <c r="NK11" s="50"/>
      <c r="NL11" s="50"/>
      <c r="NM11" s="50"/>
      <c r="NN11" s="50"/>
      <c r="NO11" s="50"/>
      <c r="NP11" s="50"/>
      <c r="NQ11" s="50"/>
      <c r="NR11" s="50"/>
      <c r="NS11" s="50"/>
      <c r="NT11" s="50"/>
      <c r="NU11" s="50"/>
      <c r="NV11" s="50"/>
      <c r="NW11" s="50"/>
      <c r="NX11" s="8"/>
      <c r="NY11" s="50"/>
      <c r="NZ11" s="50"/>
      <c r="OA11" s="50"/>
      <c r="OB11" s="50"/>
      <c r="OC11" s="50"/>
      <c r="OD11" s="53"/>
      <c r="OE11" s="50"/>
      <c r="OF11" s="50"/>
      <c r="OG11" s="50"/>
      <c r="OH11" s="50"/>
      <c r="OI11" s="50"/>
      <c r="OJ11" s="50"/>
      <c r="OK11" s="50"/>
      <c r="OL11" s="50"/>
      <c r="OM11" s="50"/>
      <c r="ON11" s="50"/>
      <c r="OO11" s="50"/>
      <c r="OP11" s="50"/>
      <c r="OQ11" s="50"/>
      <c r="OR11" s="50"/>
      <c r="OS11" s="50"/>
      <c r="OT11" s="50"/>
      <c r="OU11" s="50"/>
      <c r="OV11" s="50"/>
      <c r="OW11" s="50"/>
      <c r="OX11" s="50"/>
      <c r="OY11" s="50"/>
      <c r="OZ11" s="50"/>
      <c r="PA11" s="50"/>
      <c r="PB11" s="50"/>
      <c r="PC11" s="50"/>
      <c r="PD11" s="50"/>
      <c r="PE11" s="50"/>
      <c r="PF11" s="50"/>
      <c r="PG11" s="50"/>
      <c r="PH11" s="50"/>
      <c r="PI11" s="50"/>
      <c r="PJ11" s="50"/>
      <c r="PK11" s="50"/>
      <c r="PL11" s="50"/>
      <c r="PM11" s="50"/>
      <c r="PN11" s="50"/>
      <c r="PO11" s="50"/>
      <c r="PP11" s="50"/>
      <c r="PQ11" s="50"/>
      <c r="PR11" s="50"/>
      <c r="PS11" s="50"/>
      <c r="PT11" s="50"/>
      <c r="PU11" s="50"/>
      <c r="PV11" s="50"/>
      <c r="PW11" s="50"/>
      <c r="PX11" s="50"/>
      <c r="PY11" s="50"/>
      <c r="PZ11" s="50"/>
      <c r="QA11" s="50"/>
      <c r="QB11" s="50"/>
      <c r="QC11" s="50"/>
      <c r="QD11" s="50"/>
      <c r="QE11" s="50"/>
      <c r="QF11" s="50"/>
      <c r="QG11" s="50"/>
      <c r="QH11" s="50"/>
      <c r="QI11" s="50"/>
      <c r="QJ11" s="50"/>
      <c r="QK11" s="50"/>
      <c r="QL11" s="50"/>
      <c r="QM11" s="50"/>
      <c r="QN11" s="50"/>
      <c r="QO11" s="50"/>
      <c r="QP11" s="50"/>
      <c r="QQ11" s="50"/>
      <c r="QR11" s="50"/>
      <c r="QS11" s="50"/>
      <c r="QT11" s="50"/>
      <c r="QU11" s="50"/>
      <c r="QV11" s="50"/>
      <c r="QW11" s="50"/>
      <c r="QX11" s="50"/>
      <c r="QY11" s="50"/>
      <c r="QZ11" s="50"/>
      <c r="RA11" s="50"/>
      <c r="RB11" s="50"/>
      <c r="RC11" s="50"/>
      <c r="RD11" s="50"/>
      <c r="RE11" s="50"/>
      <c r="RF11" s="50"/>
      <c r="RG11" s="50"/>
      <c r="RH11" s="50"/>
      <c r="RI11" s="50"/>
      <c r="RJ11" s="50"/>
      <c r="RK11" s="50"/>
      <c r="RL11" s="50"/>
      <c r="RM11" s="50"/>
      <c r="RN11" s="50"/>
      <c r="RO11" s="50"/>
    </row>
    <row r="12" spans="1:483" ht="15.75" thickBot="1" x14ac:dyDescent="0.3">
      <c r="A12" s="70"/>
      <c r="B12" s="198" t="s">
        <v>732</v>
      </c>
      <c r="C12" s="199"/>
      <c r="D12" s="71"/>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t="s">
        <v>835</v>
      </c>
      <c r="FK12" s="10"/>
      <c r="KH12" s="10"/>
      <c r="KY12" s="11"/>
      <c r="KZ12" s="11"/>
      <c r="LA12" s="11"/>
      <c r="LB12" s="11"/>
      <c r="LC12" s="12"/>
      <c r="LD12" s="11"/>
      <c r="LE12" s="11"/>
      <c r="LF12" s="11"/>
      <c r="LG12" s="11"/>
      <c r="LH12" s="11"/>
      <c r="LI12" s="11"/>
      <c r="LJ12" s="11"/>
      <c r="LK12" s="11"/>
      <c r="LL12" s="11"/>
      <c r="LN12" s="11"/>
      <c r="NJ12" s="11"/>
      <c r="NN12" s="11"/>
      <c r="NO12" s="11"/>
      <c r="NP12" s="11"/>
      <c r="NQ12" s="11"/>
      <c r="NR12" s="11"/>
      <c r="NT12" s="11"/>
      <c r="OB12" s="11"/>
      <c r="OC12" s="11"/>
      <c r="OD12" s="13"/>
      <c r="OE12" s="11"/>
      <c r="OF12" s="11"/>
      <c r="OG12" s="11"/>
      <c r="OH12" s="11"/>
      <c r="OI12" s="11"/>
      <c r="OJ12" s="11"/>
      <c r="OK12" s="11"/>
      <c r="OL12" s="11"/>
      <c r="OM12" s="11"/>
      <c r="ON12" s="11"/>
      <c r="OO12" s="11"/>
      <c r="OP12" s="11"/>
      <c r="OQ12" s="11"/>
      <c r="OR12" s="11"/>
      <c r="OS12" s="11"/>
      <c r="OT12" s="11"/>
      <c r="OU12" s="11"/>
      <c r="OV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I12" s="11"/>
    </row>
    <row r="13" spans="1:483" s="3" customFormat="1" ht="15.75" thickBot="1" x14ac:dyDescent="0.3">
      <c r="A13" s="200" t="s">
        <v>853</v>
      </c>
      <c r="B13" s="201"/>
      <c r="C13" s="202"/>
      <c r="D13" s="72">
        <v>1137247076.4000001</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t="s">
        <v>902</v>
      </c>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5"/>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5"/>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row>
    <row r="14" spans="1:483" s="3" customFormat="1" ht="15.75" thickBot="1" x14ac:dyDescent="0.3">
      <c r="A14" s="198" t="s">
        <v>855</v>
      </c>
      <c r="B14" s="203"/>
      <c r="C14" s="199"/>
      <c r="D14" s="72">
        <v>996323615.79999995</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t="s">
        <v>902</v>
      </c>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7"/>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7"/>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row>
    <row r="15" spans="1:483" s="4" customFormat="1" ht="15.75" thickBot="1" x14ac:dyDescent="0.3">
      <c r="A15" s="74" t="s">
        <v>733</v>
      </c>
      <c r="B15" s="190" t="s">
        <v>856</v>
      </c>
      <c r="C15" s="191"/>
      <c r="D15" s="72">
        <v>232013147</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t="s">
        <v>902</v>
      </c>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18"/>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39"/>
      <c r="NF15" s="5"/>
      <c r="NG15" s="5"/>
      <c r="NH15" s="39"/>
      <c r="NI15" s="39"/>
      <c r="NJ15" s="5"/>
      <c r="NK15" s="5"/>
      <c r="NL15" s="5"/>
      <c r="NM15" s="5"/>
      <c r="NN15" s="5"/>
      <c r="NO15" s="5"/>
      <c r="NP15" s="5"/>
      <c r="NQ15" s="5"/>
      <c r="NR15" s="5"/>
      <c r="NS15" s="5"/>
      <c r="NT15" s="5"/>
      <c r="NU15" s="5"/>
      <c r="NV15" s="5"/>
      <c r="NW15" s="5"/>
      <c r="NX15" s="5"/>
      <c r="NY15" s="5"/>
      <c r="NZ15" s="5"/>
      <c r="OA15" s="5"/>
      <c r="OB15" s="5"/>
      <c r="OC15" s="5"/>
      <c r="OD15" s="18"/>
      <c r="OE15" s="5"/>
      <c r="OF15" s="5"/>
      <c r="OG15" s="5"/>
      <c r="OH15" s="5"/>
      <c r="OI15" s="5"/>
      <c r="OJ15" s="5"/>
      <c r="OK15" s="5"/>
      <c r="OL15" s="5"/>
      <c r="OM15" s="5"/>
      <c r="ON15" s="5"/>
      <c r="OO15" s="5"/>
      <c r="OP15" s="5"/>
      <c r="OQ15" s="39"/>
      <c r="OR15" s="5"/>
      <c r="OS15" s="39"/>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row>
    <row r="16" spans="1:483" s="4" customFormat="1" ht="15.75" thickBot="1" x14ac:dyDescent="0.3">
      <c r="A16" s="74" t="s">
        <v>734</v>
      </c>
      <c r="B16" s="190" t="s">
        <v>735</v>
      </c>
      <c r="C16" s="191"/>
      <c r="D16" s="72">
        <v>24782721.800000001</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t="s">
        <v>902</v>
      </c>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6"/>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18"/>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18"/>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row>
    <row r="17" spans="1:483" s="4" customFormat="1" ht="15.75" thickBot="1" x14ac:dyDescent="0.3">
      <c r="A17" s="74" t="s">
        <v>736</v>
      </c>
      <c r="B17" s="190" t="s">
        <v>737</v>
      </c>
      <c r="C17" s="191"/>
      <c r="D17" s="72">
        <v>77645096.900000006</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t="s">
        <v>902</v>
      </c>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6"/>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18"/>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39"/>
      <c r="NY17" s="5"/>
      <c r="NZ17" s="5"/>
      <c r="OA17" s="5"/>
      <c r="OB17" s="5"/>
      <c r="OC17" s="5"/>
      <c r="OD17" s="18"/>
      <c r="OE17" s="5"/>
      <c r="OF17" s="5"/>
      <c r="OG17" s="5"/>
      <c r="OH17" s="5"/>
      <c r="OI17" s="5"/>
      <c r="OJ17" s="5"/>
      <c r="OK17" s="5"/>
      <c r="OL17" s="5"/>
      <c r="OM17" s="5"/>
      <c r="ON17" s="5"/>
      <c r="OO17" s="5"/>
      <c r="OP17" s="39"/>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row>
    <row r="18" spans="1:483" s="4" customFormat="1" ht="15.75" thickBot="1" x14ac:dyDescent="0.3">
      <c r="A18" s="74" t="s">
        <v>738</v>
      </c>
      <c r="B18" s="190" t="s">
        <v>857</v>
      </c>
      <c r="C18" s="191"/>
      <c r="D18" s="72">
        <v>2878649.7</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t="s">
        <v>902</v>
      </c>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18"/>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18"/>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row>
    <row r="19" spans="1:483" s="4" customFormat="1" ht="15.75" thickBot="1" x14ac:dyDescent="0.3">
      <c r="A19" s="74" t="s">
        <v>740</v>
      </c>
      <c r="B19" s="190" t="s">
        <v>858</v>
      </c>
      <c r="C19" s="191"/>
      <c r="D19" s="72">
        <v>62645.9</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t="s">
        <v>902</v>
      </c>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18"/>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18"/>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row>
    <row r="20" spans="1:483" s="4" customFormat="1" ht="15.75" thickBot="1" x14ac:dyDescent="0.3">
      <c r="A20" s="74" t="s">
        <v>741</v>
      </c>
      <c r="B20" s="190" t="s">
        <v>859</v>
      </c>
      <c r="C20" s="191"/>
      <c r="D20" s="72">
        <v>168947671.30000001</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t="s">
        <v>902</v>
      </c>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18"/>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39"/>
      <c r="NC20" s="5"/>
      <c r="ND20" s="5"/>
      <c r="NE20" s="39"/>
      <c r="NF20" s="5"/>
      <c r="NG20" s="39"/>
      <c r="NH20" s="39"/>
      <c r="NI20" s="39"/>
      <c r="NJ20" s="5"/>
      <c r="NK20" s="5"/>
      <c r="NL20" s="5"/>
      <c r="NM20" s="5"/>
      <c r="NN20" s="5"/>
      <c r="NO20" s="5"/>
      <c r="NP20" s="5"/>
      <c r="NQ20" s="5"/>
      <c r="NR20" s="5"/>
      <c r="NS20" s="5"/>
      <c r="NT20" s="5"/>
      <c r="NU20" s="5"/>
      <c r="NV20" s="5"/>
      <c r="NW20" s="5"/>
      <c r="NX20" s="5"/>
      <c r="NY20" s="5"/>
      <c r="NZ20" s="5"/>
      <c r="OA20" s="5"/>
      <c r="OB20" s="5"/>
      <c r="OC20" s="5"/>
      <c r="OD20" s="18"/>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row>
    <row r="21" spans="1:483" s="4" customFormat="1" ht="15.75" thickBot="1" x14ac:dyDescent="0.3">
      <c r="A21" s="74" t="s">
        <v>742</v>
      </c>
      <c r="B21" s="190" t="s">
        <v>860</v>
      </c>
      <c r="C21" s="191"/>
      <c r="D21" s="72">
        <v>19361770.199999999</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t="s">
        <v>902</v>
      </c>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18"/>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18"/>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row>
    <row r="22" spans="1:483" s="4" customFormat="1" ht="15.75" thickBot="1" x14ac:dyDescent="0.3">
      <c r="A22" s="74" t="s">
        <v>745</v>
      </c>
      <c r="B22" s="190" t="s">
        <v>861</v>
      </c>
      <c r="C22" s="191"/>
      <c r="D22" s="72">
        <v>422562118.5</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t="s">
        <v>902</v>
      </c>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18"/>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39"/>
      <c r="NC22" s="5"/>
      <c r="ND22" s="5"/>
      <c r="NE22" s="39"/>
      <c r="NF22" s="5"/>
      <c r="NG22" s="39"/>
      <c r="NH22" s="5"/>
      <c r="NI22" s="39"/>
      <c r="NJ22" s="5"/>
      <c r="NK22" s="5"/>
      <c r="NL22" s="5"/>
      <c r="NM22" s="5"/>
      <c r="NN22" s="5"/>
      <c r="NO22" s="5"/>
      <c r="NP22" s="5"/>
      <c r="NQ22" s="5"/>
      <c r="NR22" s="5"/>
      <c r="NS22" s="5"/>
      <c r="NT22" s="5"/>
      <c r="NU22" s="5"/>
      <c r="NV22" s="5"/>
      <c r="NW22" s="5"/>
      <c r="NX22" s="5"/>
      <c r="NY22" s="5"/>
      <c r="NZ22" s="5"/>
      <c r="OA22" s="5"/>
      <c r="OB22" s="5"/>
      <c r="OC22" s="5"/>
      <c r="OD22" s="18"/>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row>
    <row r="23" spans="1:483" s="4" customFormat="1" ht="23.25" customHeight="1" thickBot="1" x14ac:dyDescent="0.3">
      <c r="A23" s="74" t="s">
        <v>746</v>
      </c>
      <c r="B23" s="196" t="s">
        <v>747</v>
      </c>
      <c r="C23" s="197"/>
      <c r="D23" s="7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t="s">
        <v>902</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18"/>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18"/>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row>
    <row r="24" spans="1:483" s="4" customFormat="1" ht="22.5" customHeight="1" thickBot="1" x14ac:dyDescent="0.3">
      <c r="A24" s="74" t="s">
        <v>748</v>
      </c>
      <c r="B24" s="196" t="s">
        <v>749</v>
      </c>
      <c r="C24" s="197"/>
      <c r="D24" s="7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t="s">
        <v>902</v>
      </c>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18"/>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18"/>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row>
    <row r="25" spans="1:483" s="4" customFormat="1" ht="22.5" customHeight="1" thickBot="1" x14ac:dyDescent="0.3">
      <c r="A25" s="74" t="s">
        <v>750</v>
      </c>
      <c r="B25" s="196" t="s">
        <v>751</v>
      </c>
      <c r="C25" s="197"/>
      <c r="D25" s="72">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t="s">
        <v>902</v>
      </c>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18"/>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18"/>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row>
    <row r="26" spans="1:483" s="4" customFormat="1" ht="23.25" customHeight="1" thickBot="1" x14ac:dyDescent="0.3">
      <c r="A26" s="74" t="s">
        <v>752</v>
      </c>
      <c r="B26" s="196" t="s">
        <v>753</v>
      </c>
      <c r="C26" s="197"/>
      <c r="D26" s="72">
        <v>25</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t="s">
        <v>902</v>
      </c>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18"/>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18"/>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row>
    <row r="27" spans="1:483" s="4" customFormat="1" ht="22.5" customHeight="1" thickBot="1" x14ac:dyDescent="0.3">
      <c r="A27" s="74" t="s">
        <v>754</v>
      </c>
      <c r="B27" s="196" t="s">
        <v>755</v>
      </c>
      <c r="C27" s="197"/>
      <c r="D27" s="72">
        <v>48069769.5</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t="s">
        <v>902</v>
      </c>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18"/>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18"/>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row>
    <row r="28" spans="1:483" s="4" customFormat="1" ht="15.75" thickBot="1" x14ac:dyDescent="0.3">
      <c r="A28" s="198" t="s">
        <v>862</v>
      </c>
      <c r="B28" s="203"/>
      <c r="C28" s="199"/>
      <c r="D28" s="72">
        <v>12339253.310000001</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t="s">
        <v>902</v>
      </c>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5"/>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5"/>
      <c r="MK28" s="5"/>
      <c r="ML28" s="5"/>
      <c r="MM28" s="5"/>
      <c r="MN28" s="5"/>
      <c r="MO28" s="5"/>
      <c r="MP28" s="5"/>
      <c r="MQ28" s="5"/>
      <c r="MR28" s="5"/>
      <c r="MS28" s="14"/>
      <c r="MT28" s="14"/>
      <c r="MU28" s="14"/>
      <c r="MV28" s="14"/>
      <c r="MW28" s="14"/>
      <c r="MX28" s="14"/>
      <c r="MY28" s="14"/>
      <c r="MZ28" s="14"/>
      <c r="NA28" s="5"/>
      <c r="NB28" s="5"/>
      <c r="NC28" s="5"/>
      <c r="ND28" s="5"/>
      <c r="NE28" s="5"/>
      <c r="NF28" s="5"/>
      <c r="NG28" s="5"/>
      <c r="NH28" s="5"/>
      <c r="NI28" s="5"/>
      <c r="NJ28" s="14"/>
      <c r="NK28" s="14"/>
      <c r="NL28" s="14"/>
      <c r="NM28" s="14"/>
      <c r="NN28" s="14"/>
      <c r="NO28" s="14"/>
      <c r="NP28" s="14"/>
      <c r="NQ28" s="14"/>
      <c r="NR28" s="14"/>
      <c r="NS28" s="14"/>
      <c r="NT28" s="14"/>
      <c r="NU28" s="14"/>
      <c r="NV28" s="14"/>
      <c r="NW28" s="14"/>
      <c r="NX28" s="5"/>
      <c r="NY28" s="14"/>
      <c r="NZ28" s="14"/>
      <c r="OA28" s="14"/>
      <c r="OB28" s="14"/>
      <c r="OC28" s="14"/>
      <c r="OD28" s="15"/>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row>
    <row r="29" spans="1:483" s="4" customFormat="1" ht="15.75" thickBot="1" x14ac:dyDescent="0.3">
      <c r="A29" s="74" t="s">
        <v>756</v>
      </c>
      <c r="B29" s="190" t="s">
        <v>863</v>
      </c>
      <c r="C29" s="191"/>
      <c r="D29" s="72">
        <v>2517961.7000000002</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t="s">
        <v>902</v>
      </c>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7"/>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18"/>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18"/>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row>
    <row r="30" spans="1:483" s="4" customFormat="1" ht="15.75" thickBot="1" x14ac:dyDescent="0.3">
      <c r="A30" s="74" t="s">
        <v>757</v>
      </c>
      <c r="B30" s="190" t="s">
        <v>864</v>
      </c>
      <c r="C30" s="191"/>
      <c r="D30" s="72">
        <v>7793610.7000000002</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t="s">
        <v>902</v>
      </c>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18"/>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18"/>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row>
    <row r="31" spans="1:483" s="4" customFormat="1" ht="15.75" thickBot="1" x14ac:dyDescent="0.3">
      <c r="A31" s="74" t="s">
        <v>758</v>
      </c>
      <c r="B31" s="190" t="s">
        <v>759</v>
      </c>
      <c r="C31" s="191"/>
      <c r="D31" s="72">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t="s">
        <v>902</v>
      </c>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18"/>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18"/>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row>
    <row r="32" spans="1:483" s="4" customFormat="1" ht="15.75" thickBot="1" x14ac:dyDescent="0.3">
      <c r="A32" s="74" t="s">
        <v>760</v>
      </c>
      <c r="B32" s="190" t="s">
        <v>761</v>
      </c>
      <c r="C32" s="191"/>
      <c r="D32" s="72">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t="s">
        <v>902</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18"/>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18"/>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row>
    <row r="33" spans="1:483" s="4" customFormat="1" ht="23.25" customHeight="1" thickBot="1" x14ac:dyDescent="0.3">
      <c r="A33" s="74" t="s">
        <v>762</v>
      </c>
      <c r="B33" s="196" t="s">
        <v>763</v>
      </c>
      <c r="C33" s="197"/>
      <c r="D33" s="72">
        <v>908715.35</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t="s">
        <v>902</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18"/>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18"/>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row>
    <row r="34" spans="1:483" s="4" customFormat="1" ht="23.25" customHeight="1" thickBot="1" x14ac:dyDescent="0.3">
      <c r="A34" s="74" t="s">
        <v>764</v>
      </c>
      <c r="B34" s="196" t="s">
        <v>765</v>
      </c>
      <c r="C34" s="197"/>
      <c r="D34" s="72">
        <v>471728.4</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t="s">
        <v>902</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18"/>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18"/>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row>
    <row r="35" spans="1:483" s="4" customFormat="1" ht="24" customHeight="1" thickBot="1" x14ac:dyDescent="0.3">
      <c r="A35" s="74" t="s">
        <v>767</v>
      </c>
      <c r="B35" s="196" t="s">
        <v>768</v>
      </c>
      <c r="C35" s="197"/>
      <c r="D35" s="72">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t="s">
        <v>902</v>
      </c>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18"/>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18"/>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row>
    <row r="36" spans="1:483" s="4" customFormat="1" ht="23.25" customHeight="1" thickBot="1" x14ac:dyDescent="0.3">
      <c r="A36" s="74" t="s">
        <v>769</v>
      </c>
      <c r="B36" s="196" t="s">
        <v>770</v>
      </c>
      <c r="C36" s="197"/>
      <c r="D36" s="72">
        <v>647237.16</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t="s">
        <v>902</v>
      </c>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18"/>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18"/>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row>
    <row r="37" spans="1:483" s="4" customFormat="1" ht="15.75" thickBot="1" x14ac:dyDescent="0.3">
      <c r="A37" s="74" t="s">
        <v>771</v>
      </c>
      <c r="B37" s="190" t="s">
        <v>772</v>
      </c>
      <c r="C37" s="191"/>
      <c r="D37" s="72">
        <v>0</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t="s">
        <v>902</v>
      </c>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18"/>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18"/>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row>
    <row r="38" spans="1:483" s="4" customFormat="1" ht="15.75" thickBot="1" x14ac:dyDescent="0.3">
      <c r="A38" s="75" t="s">
        <v>865</v>
      </c>
      <c r="B38" s="73"/>
      <c r="C38" s="73"/>
      <c r="D38" s="72">
        <v>15123882.699999999</v>
      </c>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t="s">
        <v>902</v>
      </c>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5"/>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5"/>
      <c r="MK38" s="5"/>
      <c r="ML38" s="5"/>
      <c r="MM38" s="5"/>
      <c r="MN38" s="5"/>
      <c r="MO38" s="5"/>
      <c r="MP38" s="5"/>
      <c r="MQ38" s="5"/>
      <c r="MR38" s="5"/>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5"/>
      <c r="NY38" s="14"/>
      <c r="NZ38" s="14"/>
      <c r="OA38" s="14"/>
      <c r="OB38" s="14"/>
      <c r="OC38" s="14"/>
      <c r="OD38" s="15"/>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14"/>
      <c r="QN38" s="14"/>
      <c r="QO38" s="14"/>
      <c r="QP38" s="14"/>
      <c r="QQ38" s="14"/>
      <c r="QR38" s="14"/>
      <c r="QS38" s="14"/>
      <c r="QT38" s="14"/>
      <c r="QU38" s="14"/>
      <c r="QV38" s="14"/>
      <c r="QW38" s="14"/>
      <c r="QX38" s="14"/>
      <c r="QY38" s="14"/>
      <c r="QZ38" s="14"/>
      <c r="RA38" s="14"/>
      <c r="RB38" s="14"/>
      <c r="RC38" s="14"/>
      <c r="RD38" s="14"/>
      <c r="RE38" s="14"/>
      <c r="RF38" s="14"/>
      <c r="RG38" s="14"/>
      <c r="RH38" s="14"/>
      <c r="RI38" s="14"/>
      <c r="RJ38" s="14"/>
      <c r="RK38" s="14"/>
      <c r="RL38" s="14"/>
      <c r="RM38" s="14"/>
      <c r="RN38" s="14"/>
      <c r="RO38" s="14"/>
    </row>
    <row r="39" spans="1:483" s="4" customFormat="1" ht="15.75" thickBot="1" x14ac:dyDescent="0.3">
      <c r="A39" s="74" t="s">
        <v>773</v>
      </c>
      <c r="B39" s="190" t="s">
        <v>774</v>
      </c>
      <c r="C39" s="191"/>
      <c r="D39" s="72">
        <v>15090760.4</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t="s">
        <v>902</v>
      </c>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6"/>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18"/>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18"/>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row>
    <row r="40" spans="1:483" s="4" customFormat="1" ht="15.75" thickBot="1" x14ac:dyDescent="0.3">
      <c r="A40" s="74" t="s">
        <v>775</v>
      </c>
      <c r="B40" s="190" t="s">
        <v>776</v>
      </c>
      <c r="C40" s="191"/>
      <c r="D40" s="72">
        <v>0</v>
      </c>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t="s">
        <v>902</v>
      </c>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18"/>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18"/>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row>
    <row r="41" spans="1:483" s="4" customFormat="1" ht="15.75" thickBot="1" x14ac:dyDescent="0.3">
      <c r="A41" s="74" t="s">
        <v>777</v>
      </c>
      <c r="B41" s="190" t="s">
        <v>778</v>
      </c>
      <c r="C41" s="191"/>
      <c r="D41" s="72">
        <v>33122.300000000003</v>
      </c>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t="s">
        <v>902</v>
      </c>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18"/>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18"/>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row>
    <row r="42" spans="1:483" s="4" customFormat="1" ht="15.75" thickBot="1" x14ac:dyDescent="0.3">
      <c r="A42" s="74" t="s">
        <v>779</v>
      </c>
      <c r="B42" s="190" t="s">
        <v>780</v>
      </c>
      <c r="C42" s="191"/>
      <c r="D42" s="72">
        <v>0</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t="s">
        <v>902</v>
      </c>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18"/>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18"/>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row>
    <row r="43" spans="1:483" s="4" customFormat="1" ht="15.75" thickBot="1" x14ac:dyDescent="0.3">
      <c r="A43" s="75" t="s">
        <v>866</v>
      </c>
      <c r="B43" s="73"/>
      <c r="C43" s="73"/>
      <c r="D43" s="72">
        <v>40988859.899999999</v>
      </c>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t="s">
        <v>902</v>
      </c>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5"/>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5"/>
      <c r="MK43" s="5"/>
      <c r="ML43" s="5"/>
      <c r="MM43" s="5"/>
      <c r="MN43" s="5"/>
      <c r="MO43" s="5"/>
      <c r="MP43" s="5"/>
      <c r="MQ43" s="5"/>
      <c r="MR43" s="5"/>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5"/>
      <c r="NY43" s="14"/>
      <c r="NZ43" s="14"/>
      <c r="OA43" s="14"/>
      <c r="OB43" s="14"/>
      <c r="OC43" s="14"/>
      <c r="OD43" s="15"/>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row>
    <row r="44" spans="1:483" s="4" customFormat="1" ht="15.75" thickBot="1" x14ac:dyDescent="0.3">
      <c r="A44" s="74" t="s">
        <v>781</v>
      </c>
      <c r="B44" s="190" t="s">
        <v>867</v>
      </c>
      <c r="C44" s="191"/>
      <c r="D44" s="72">
        <v>40988859.899999999</v>
      </c>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t="s">
        <v>902</v>
      </c>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18"/>
      <c r="LD44" s="5"/>
      <c r="LE44" s="5"/>
      <c r="LF44" s="5"/>
      <c r="LG44" s="5"/>
      <c r="LH44" s="5"/>
      <c r="LI44" s="5"/>
      <c r="LJ44" s="5"/>
      <c r="LK44" s="5"/>
      <c r="LL44" s="5"/>
      <c r="LM44" s="5"/>
      <c r="LN44" s="5"/>
      <c r="LO44" s="5"/>
      <c r="LP44" s="5"/>
      <c r="LQ44" s="5"/>
      <c r="LR44" s="5"/>
      <c r="LS44" s="5"/>
      <c r="LT44" s="5"/>
      <c r="LU44" s="5"/>
      <c r="LV44" s="5"/>
      <c r="LW44" s="14"/>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18"/>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row>
    <row r="45" spans="1:483" s="4" customFormat="1" ht="15.75" thickBot="1" x14ac:dyDescent="0.3">
      <c r="A45" s="75" t="s">
        <v>868</v>
      </c>
      <c r="B45" s="73"/>
      <c r="C45" s="73"/>
      <c r="D45" s="72">
        <v>58330492.700000003</v>
      </c>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t="s">
        <v>902</v>
      </c>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5"/>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5"/>
      <c r="MK45" s="5"/>
      <c r="ML45" s="5"/>
      <c r="MM45" s="5"/>
      <c r="MN45" s="5"/>
      <c r="MO45" s="5"/>
      <c r="MP45" s="5"/>
      <c r="MQ45" s="5"/>
      <c r="MR45" s="5"/>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5"/>
      <c r="NY45" s="14"/>
      <c r="NZ45" s="14"/>
      <c r="OA45" s="14"/>
      <c r="OB45" s="14"/>
      <c r="OC45" s="14"/>
      <c r="OD45" s="15"/>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row>
    <row r="46" spans="1:483" s="4" customFormat="1" ht="21.75" customHeight="1" thickBot="1" x14ac:dyDescent="0.3">
      <c r="A46" s="74" t="s">
        <v>782</v>
      </c>
      <c r="B46" s="196" t="s">
        <v>869</v>
      </c>
      <c r="C46" s="197"/>
      <c r="D46" s="72">
        <v>54735711.200000003</v>
      </c>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t="s">
        <v>902</v>
      </c>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18"/>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18"/>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row>
    <row r="47" spans="1:483" s="4" customFormat="1" ht="15.75" thickBot="1" x14ac:dyDescent="0.3">
      <c r="A47" s="74" t="s">
        <v>783</v>
      </c>
      <c r="B47" s="190" t="s">
        <v>784</v>
      </c>
      <c r="C47" s="191"/>
      <c r="D47" s="72">
        <v>3594781.5</v>
      </c>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t="s">
        <v>902</v>
      </c>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18"/>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18"/>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row>
    <row r="48" spans="1:483" s="4" customFormat="1" ht="15.75" thickBot="1" x14ac:dyDescent="0.3">
      <c r="A48" s="198" t="s">
        <v>870</v>
      </c>
      <c r="B48" s="203"/>
      <c r="C48" s="199"/>
      <c r="D48" s="72">
        <v>14140971.99</v>
      </c>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t="s">
        <v>902</v>
      </c>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5"/>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5"/>
      <c r="MK48" s="5"/>
      <c r="ML48" s="5"/>
      <c r="MM48" s="5"/>
      <c r="MN48" s="5"/>
      <c r="MO48" s="5"/>
      <c r="MP48" s="5"/>
      <c r="MQ48" s="5"/>
      <c r="MR48" s="5"/>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5"/>
      <c r="NY48" s="14"/>
      <c r="NZ48" s="14"/>
      <c r="OA48" s="14"/>
      <c r="OB48" s="14"/>
      <c r="OC48" s="14"/>
      <c r="OD48" s="15"/>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14"/>
      <c r="PY48" s="14"/>
      <c r="PZ48" s="14"/>
      <c r="QA48" s="14"/>
      <c r="QB48" s="14"/>
      <c r="QC48" s="14"/>
      <c r="QD48" s="14"/>
      <c r="QE48" s="14"/>
      <c r="QF48" s="14"/>
      <c r="QG48" s="14"/>
      <c r="QH48" s="14"/>
      <c r="QI48" s="14"/>
      <c r="QJ48" s="14"/>
      <c r="QK48" s="14"/>
      <c r="QL48" s="14"/>
      <c r="QM48" s="14"/>
      <c r="QN48" s="14"/>
      <c r="QO48" s="14"/>
      <c r="QP48" s="14"/>
      <c r="QQ48" s="14"/>
      <c r="QR48" s="14"/>
      <c r="QS48" s="14"/>
      <c r="QT48" s="14"/>
      <c r="QU48" s="14"/>
      <c r="QV48" s="14"/>
      <c r="QW48" s="14"/>
      <c r="QX48" s="14"/>
      <c r="QY48" s="14"/>
      <c r="QZ48" s="14"/>
      <c r="RA48" s="14"/>
      <c r="RB48" s="14"/>
      <c r="RC48" s="14"/>
      <c r="RD48" s="14"/>
      <c r="RE48" s="14"/>
      <c r="RF48" s="14"/>
      <c r="RG48" s="14"/>
      <c r="RH48" s="14"/>
      <c r="RI48" s="14"/>
      <c r="RJ48" s="14"/>
      <c r="RK48" s="14"/>
      <c r="RL48" s="14"/>
      <c r="RM48" s="14"/>
      <c r="RN48" s="14"/>
      <c r="RO48" s="14"/>
    </row>
    <row r="49" spans="1:483" s="4" customFormat="1" ht="15.75" thickBot="1" x14ac:dyDescent="0.3">
      <c r="A49" s="74" t="s">
        <v>785</v>
      </c>
      <c r="B49" s="190" t="s">
        <v>786</v>
      </c>
      <c r="C49" s="191"/>
      <c r="D49" s="72">
        <v>14140971.99</v>
      </c>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t="s">
        <v>902</v>
      </c>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18"/>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18"/>
      <c r="OE49" s="5"/>
      <c r="OF49" s="5"/>
      <c r="OG49" s="5"/>
      <c r="OH49" s="5"/>
      <c r="OI49" s="5"/>
      <c r="OJ49" s="5"/>
      <c r="OK49" s="5"/>
      <c r="OL49" s="5"/>
      <c r="OM49" s="5"/>
      <c r="ON49" s="5"/>
      <c r="OO49" s="5"/>
      <c r="OP49" s="39"/>
      <c r="OQ49" s="5"/>
      <c r="OR49" s="5"/>
      <c r="OS49" s="39"/>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row>
    <row r="50" spans="1:483" s="4" customFormat="1" ht="15.75" thickBot="1" x14ac:dyDescent="0.3">
      <c r="A50" s="190" t="s">
        <v>871</v>
      </c>
      <c r="B50" s="204"/>
      <c r="C50" s="195"/>
      <c r="D50" s="71">
        <v>10899093.199999999</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t="s">
        <v>835</v>
      </c>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18"/>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19"/>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row>
    <row r="51" spans="1:483" s="4" customFormat="1" ht="15.75" thickBot="1" x14ac:dyDescent="0.3">
      <c r="A51" s="190" t="s">
        <v>873</v>
      </c>
      <c r="B51" s="204"/>
      <c r="C51" s="195"/>
      <c r="D51" s="72">
        <v>5261343.2</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t="s">
        <v>835</v>
      </c>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18"/>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19"/>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row>
    <row r="52" spans="1:483" s="4" customFormat="1" ht="15.75" thickBot="1" x14ac:dyDescent="0.3">
      <c r="A52" s="74" t="s">
        <v>787</v>
      </c>
      <c r="B52" s="77" t="s">
        <v>788</v>
      </c>
      <c r="C52" s="88"/>
      <c r="D52" s="89">
        <v>3034728.1</v>
      </c>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t="s">
        <v>835</v>
      </c>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39"/>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c r="ID52" s="54"/>
      <c r="IE52" s="54"/>
      <c r="IF52" s="54"/>
      <c r="IG52" s="54"/>
      <c r="IH52" s="54"/>
      <c r="II52" s="54"/>
      <c r="IJ52" s="54"/>
      <c r="IK52" s="54"/>
      <c r="IL52" s="54"/>
      <c r="IM52" s="54"/>
      <c r="IN52" s="54"/>
      <c r="IO52" s="54"/>
      <c r="IP52" s="54"/>
      <c r="IQ52" s="54"/>
      <c r="IR52" s="54"/>
      <c r="IS52" s="54"/>
      <c r="IT52" s="54"/>
      <c r="IU52" s="54"/>
      <c r="IV52" s="54"/>
      <c r="IW52" s="54"/>
      <c r="IX52" s="54"/>
      <c r="IY52" s="54"/>
      <c r="IZ52" s="54"/>
      <c r="JA52" s="54"/>
      <c r="JB52" s="54"/>
      <c r="JC52" s="54"/>
      <c r="JD52" s="54"/>
      <c r="JE52" s="54"/>
      <c r="JF52" s="54"/>
      <c r="JG52" s="54"/>
      <c r="JH52" s="54"/>
      <c r="JI52" s="54"/>
      <c r="JJ52" s="54"/>
      <c r="JK52" s="54"/>
      <c r="JL52" s="54"/>
      <c r="JM52" s="54"/>
      <c r="JN52" s="54"/>
      <c r="JO52" s="54"/>
      <c r="JP52" s="54"/>
      <c r="JQ52" s="54"/>
      <c r="JR52" s="54"/>
      <c r="JS52" s="54"/>
      <c r="JT52" s="54"/>
      <c r="JU52" s="54"/>
      <c r="JV52" s="54"/>
      <c r="JW52" s="54"/>
      <c r="JX52" s="54"/>
      <c r="JY52" s="54"/>
      <c r="JZ52" s="54"/>
      <c r="KA52" s="54"/>
      <c r="KB52" s="54"/>
      <c r="KC52" s="54"/>
      <c r="KD52" s="54"/>
      <c r="KE52" s="54"/>
      <c r="KF52" s="54"/>
      <c r="KG52" s="54"/>
      <c r="KH52" s="54"/>
      <c r="KI52" s="54"/>
      <c r="KJ52" s="54"/>
      <c r="KK52" s="54"/>
      <c r="KL52" s="54"/>
      <c r="KM52" s="54"/>
      <c r="KN52" s="54"/>
      <c r="KO52" s="54"/>
      <c r="KP52" s="54"/>
      <c r="KQ52" s="54"/>
      <c r="KR52" s="54"/>
      <c r="KS52" s="54"/>
      <c r="KT52" s="54"/>
      <c r="KU52" s="54"/>
      <c r="KV52" s="54"/>
      <c r="KW52" s="54"/>
      <c r="KX52" s="54"/>
      <c r="KY52" s="54"/>
      <c r="KZ52" s="54"/>
      <c r="LA52" s="54"/>
      <c r="LB52" s="54"/>
      <c r="LC52" s="38"/>
      <c r="LD52" s="54"/>
      <c r="LE52" s="54"/>
      <c r="LF52" s="54"/>
      <c r="LG52" s="54"/>
      <c r="LH52" s="54"/>
      <c r="LI52" s="54"/>
      <c r="LJ52" s="54"/>
      <c r="LK52" s="54"/>
      <c r="LL52" s="54"/>
      <c r="LM52" s="39"/>
      <c r="LN52" s="39"/>
      <c r="LO52" s="39"/>
      <c r="LP52" s="39"/>
      <c r="LQ52" s="39"/>
      <c r="LR52" s="39"/>
      <c r="LS52" s="39"/>
      <c r="LT52" s="39"/>
      <c r="LU52" s="39"/>
      <c r="LV52" s="39"/>
      <c r="LW52" s="39"/>
      <c r="LX52" s="39"/>
      <c r="LY52" s="39"/>
      <c r="LZ52" s="39"/>
      <c r="MA52" s="39"/>
      <c r="MB52" s="39"/>
      <c r="MC52" s="39"/>
      <c r="MD52" s="39"/>
      <c r="ME52" s="39"/>
      <c r="MF52" s="39"/>
      <c r="MG52" s="39"/>
      <c r="MH52" s="39"/>
      <c r="MI52" s="39"/>
      <c r="MJ52" s="39"/>
      <c r="MK52" s="39"/>
      <c r="ML52" s="39"/>
      <c r="MM52" s="39"/>
      <c r="MN52" s="39"/>
      <c r="MO52" s="39"/>
      <c r="MP52" s="39"/>
      <c r="MQ52" s="39"/>
      <c r="MR52" s="39"/>
      <c r="MS52" s="39"/>
      <c r="MT52" s="39"/>
      <c r="MU52" s="39"/>
      <c r="MV52" s="39"/>
      <c r="MW52" s="39"/>
      <c r="MX52" s="39"/>
      <c r="MY52" s="39"/>
      <c r="MZ52" s="39"/>
      <c r="NA52" s="39"/>
      <c r="NB52" s="39"/>
      <c r="NC52" s="39"/>
      <c r="ND52" s="39"/>
      <c r="NE52" s="39"/>
      <c r="NF52" s="39"/>
      <c r="NG52" s="39"/>
      <c r="NH52" s="39"/>
      <c r="NI52" s="39"/>
      <c r="NJ52" s="54"/>
      <c r="NK52" s="39"/>
      <c r="NL52" s="39"/>
      <c r="NM52" s="39"/>
      <c r="NN52" s="54"/>
      <c r="NO52" s="54"/>
      <c r="NP52" s="54"/>
      <c r="NQ52" s="54"/>
      <c r="NR52" s="54"/>
      <c r="NS52" s="39"/>
      <c r="NT52" s="39"/>
      <c r="NU52" s="39"/>
      <c r="NV52" s="39"/>
      <c r="NW52" s="39"/>
      <c r="NX52" s="39"/>
      <c r="NY52" s="39"/>
      <c r="NZ52" s="39"/>
      <c r="OA52" s="39"/>
      <c r="OB52" s="54"/>
      <c r="OC52" s="54"/>
      <c r="OD52" s="40"/>
      <c r="OE52" s="54"/>
      <c r="OF52" s="54"/>
      <c r="OG52" s="54"/>
      <c r="OH52" s="54"/>
      <c r="OI52" s="54"/>
      <c r="OJ52" s="54"/>
      <c r="OK52" s="54"/>
      <c r="OL52" s="54"/>
      <c r="OM52" s="54"/>
      <c r="ON52" s="54"/>
      <c r="OO52" s="54"/>
      <c r="OP52" s="54"/>
      <c r="OQ52" s="54"/>
      <c r="OR52" s="54"/>
      <c r="OS52" s="54"/>
      <c r="OT52" s="54"/>
      <c r="OU52" s="54"/>
      <c r="OV52" s="54"/>
      <c r="OW52" s="39"/>
      <c r="OX52" s="54"/>
      <c r="OY52" s="54"/>
      <c r="OZ52" s="54"/>
      <c r="PA52" s="54"/>
      <c r="PB52" s="54"/>
      <c r="PC52" s="54"/>
      <c r="PD52" s="54"/>
      <c r="PE52" s="54"/>
      <c r="PF52" s="54"/>
      <c r="PG52" s="54"/>
      <c r="PH52" s="54"/>
      <c r="PI52" s="54"/>
      <c r="PJ52" s="54"/>
      <c r="PK52" s="54"/>
      <c r="PL52" s="54"/>
      <c r="PM52" s="54"/>
      <c r="PN52" s="54"/>
      <c r="PO52" s="54"/>
      <c r="PP52" s="54"/>
      <c r="PQ52" s="54"/>
      <c r="PR52" s="54"/>
      <c r="PS52" s="54"/>
      <c r="PT52" s="54"/>
      <c r="PU52" s="54"/>
      <c r="PV52" s="54"/>
      <c r="PW52" s="54"/>
      <c r="PX52" s="39"/>
      <c r="PY52" s="39"/>
      <c r="PZ52" s="39"/>
      <c r="QA52" s="39"/>
      <c r="QB52" s="39"/>
      <c r="QC52" s="39"/>
      <c r="QD52" s="39"/>
      <c r="QE52" s="39"/>
      <c r="QF52" s="39"/>
      <c r="QG52" s="39"/>
      <c r="QH52" s="39"/>
      <c r="QI52" s="54"/>
      <c r="QJ52" s="39"/>
      <c r="QK52" s="39"/>
      <c r="QL52" s="39"/>
      <c r="QM52" s="39"/>
      <c r="QN52" s="39"/>
      <c r="QO52" s="39"/>
      <c r="QP52" s="39"/>
      <c r="QQ52" s="39"/>
      <c r="QR52" s="39"/>
      <c r="QS52" s="39"/>
      <c r="QT52" s="39"/>
      <c r="QU52" s="39"/>
      <c r="QV52" s="39"/>
      <c r="QW52" s="39"/>
      <c r="QX52" s="39"/>
      <c r="QY52" s="39"/>
      <c r="QZ52" s="39"/>
      <c r="RA52" s="39"/>
      <c r="RB52" s="39"/>
      <c r="RC52" s="39"/>
      <c r="RD52" s="39"/>
      <c r="RE52" s="39"/>
      <c r="RF52" s="39"/>
      <c r="RG52" s="39"/>
      <c r="RH52" s="39"/>
      <c r="RI52" s="39"/>
      <c r="RJ52" s="39"/>
      <c r="RK52" s="39"/>
      <c r="RL52" s="39"/>
      <c r="RM52" s="39"/>
      <c r="RN52" s="39"/>
      <c r="RO52" s="39"/>
    </row>
    <row r="53" spans="1:483" s="4" customFormat="1" ht="15.75" thickBot="1" x14ac:dyDescent="0.3">
      <c r="A53" s="74" t="s">
        <v>789</v>
      </c>
      <c r="B53" s="190" t="s">
        <v>790</v>
      </c>
      <c r="C53" s="195"/>
      <c r="D53" s="72">
        <v>342225.5</v>
      </c>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t="s">
        <v>835</v>
      </c>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39"/>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c r="IP53" s="54"/>
      <c r="IQ53" s="54"/>
      <c r="IR53" s="54"/>
      <c r="IS53" s="54"/>
      <c r="IT53" s="54"/>
      <c r="IU53" s="54"/>
      <c r="IV53" s="54"/>
      <c r="IW53" s="54"/>
      <c r="IX53" s="54"/>
      <c r="IY53" s="54"/>
      <c r="IZ53" s="54"/>
      <c r="JA53" s="54"/>
      <c r="JB53" s="54"/>
      <c r="JC53" s="54"/>
      <c r="JD53" s="54"/>
      <c r="JE53" s="54"/>
      <c r="JF53" s="54"/>
      <c r="JG53" s="54"/>
      <c r="JH53" s="54"/>
      <c r="JI53" s="54"/>
      <c r="JJ53" s="54"/>
      <c r="JK53" s="54"/>
      <c r="JL53" s="54"/>
      <c r="JM53" s="54"/>
      <c r="JN53" s="54"/>
      <c r="JO53" s="54"/>
      <c r="JP53" s="54"/>
      <c r="JQ53" s="54"/>
      <c r="JR53" s="54"/>
      <c r="JS53" s="54"/>
      <c r="JT53" s="54"/>
      <c r="JU53" s="54"/>
      <c r="JV53" s="54"/>
      <c r="JW53" s="54"/>
      <c r="JX53" s="54"/>
      <c r="JY53" s="54"/>
      <c r="JZ53" s="54"/>
      <c r="KA53" s="54"/>
      <c r="KB53" s="54"/>
      <c r="KC53" s="54"/>
      <c r="KD53" s="54"/>
      <c r="KE53" s="54"/>
      <c r="KF53" s="54"/>
      <c r="KG53" s="54"/>
      <c r="KH53" s="54"/>
      <c r="KI53" s="54"/>
      <c r="KJ53" s="54"/>
      <c r="KK53" s="54"/>
      <c r="KL53" s="54"/>
      <c r="KM53" s="54"/>
      <c r="KN53" s="54"/>
      <c r="KO53" s="54"/>
      <c r="KP53" s="54"/>
      <c r="KQ53" s="54"/>
      <c r="KR53" s="54"/>
      <c r="KS53" s="54"/>
      <c r="KT53" s="54"/>
      <c r="KU53" s="54"/>
      <c r="KV53" s="54"/>
      <c r="KW53" s="54"/>
      <c r="KX53" s="54"/>
      <c r="KY53" s="54"/>
      <c r="KZ53" s="54"/>
      <c r="LA53" s="54"/>
      <c r="LB53" s="54"/>
      <c r="LC53" s="38"/>
      <c r="LD53" s="54"/>
      <c r="LE53" s="54"/>
      <c r="LF53" s="54"/>
      <c r="LG53" s="54"/>
      <c r="LH53" s="54"/>
      <c r="LI53" s="54"/>
      <c r="LJ53" s="54"/>
      <c r="LK53" s="54"/>
      <c r="LL53" s="54"/>
      <c r="LM53" s="39"/>
      <c r="LN53" s="39"/>
      <c r="LO53" s="39"/>
      <c r="LP53" s="39"/>
      <c r="LQ53" s="39"/>
      <c r="LR53" s="39"/>
      <c r="LS53" s="39"/>
      <c r="LT53" s="39"/>
      <c r="LU53" s="39"/>
      <c r="LV53" s="39"/>
      <c r="LW53" s="39"/>
      <c r="LX53" s="39"/>
      <c r="LY53" s="39"/>
      <c r="LZ53" s="39"/>
      <c r="MA53" s="39"/>
      <c r="MB53" s="39"/>
      <c r="MC53" s="39"/>
      <c r="MD53" s="39"/>
      <c r="ME53" s="39"/>
      <c r="MF53" s="39"/>
      <c r="MG53" s="39"/>
      <c r="MH53" s="39"/>
      <c r="MI53" s="39"/>
      <c r="MJ53" s="39"/>
      <c r="MK53" s="39"/>
      <c r="ML53" s="39"/>
      <c r="MM53" s="39"/>
      <c r="MN53" s="39"/>
      <c r="MO53" s="39"/>
      <c r="MP53" s="39"/>
      <c r="MQ53" s="39"/>
      <c r="MR53" s="39"/>
      <c r="MS53" s="39"/>
      <c r="MT53" s="39"/>
      <c r="MU53" s="39"/>
      <c r="MV53" s="39"/>
      <c r="MW53" s="39"/>
      <c r="MX53" s="39"/>
      <c r="MY53" s="39"/>
      <c r="MZ53" s="39"/>
      <c r="NA53" s="39"/>
      <c r="NB53" s="39"/>
      <c r="NC53" s="39"/>
      <c r="ND53" s="39"/>
      <c r="NE53" s="39"/>
      <c r="NF53" s="39"/>
      <c r="NG53" s="39"/>
      <c r="NH53" s="39"/>
      <c r="NI53" s="39"/>
      <c r="NJ53" s="54"/>
      <c r="NK53" s="39"/>
      <c r="NL53" s="39"/>
      <c r="NM53" s="39"/>
      <c r="NN53" s="54"/>
      <c r="NO53" s="54"/>
      <c r="NP53" s="54"/>
      <c r="NQ53" s="54"/>
      <c r="NR53" s="54"/>
      <c r="NS53" s="39"/>
      <c r="NT53" s="39"/>
      <c r="NU53" s="39"/>
      <c r="NV53" s="39"/>
      <c r="NW53" s="39"/>
      <c r="NX53" s="39"/>
      <c r="NY53" s="39"/>
      <c r="NZ53" s="39"/>
      <c r="OA53" s="39"/>
      <c r="OB53" s="54"/>
      <c r="OC53" s="54"/>
      <c r="OD53" s="40"/>
      <c r="OE53" s="54"/>
      <c r="OF53" s="54"/>
      <c r="OG53" s="54"/>
      <c r="OH53" s="54"/>
      <c r="OI53" s="54"/>
      <c r="OJ53" s="54"/>
      <c r="OK53" s="54"/>
      <c r="OL53" s="54"/>
      <c r="OM53" s="54"/>
      <c r="ON53" s="54"/>
      <c r="OO53" s="54"/>
      <c r="OP53" s="39"/>
      <c r="OQ53" s="54"/>
      <c r="OR53" s="54"/>
      <c r="OS53" s="54"/>
      <c r="OT53" s="39"/>
      <c r="OU53" s="54"/>
      <c r="OV53" s="54"/>
      <c r="OW53" s="39"/>
      <c r="OX53" s="54"/>
      <c r="OY53" s="54"/>
      <c r="OZ53" s="54"/>
      <c r="PA53" s="54"/>
      <c r="PB53" s="54"/>
      <c r="PC53" s="54"/>
      <c r="PD53" s="54"/>
      <c r="PE53" s="54"/>
      <c r="PF53" s="54"/>
      <c r="PG53" s="54"/>
      <c r="PH53" s="54"/>
      <c r="PI53" s="54"/>
      <c r="PJ53" s="54"/>
      <c r="PK53" s="54"/>
      <c r="PL53" s="54"/>
      <c r="PM53" s="54"/>
      <c r="PN53" s="54"/>
      <c r="PO53" s="54"/>
      <c r="PP53" s="54"/>
      <c r="PQ53" s="54"/>
      <c r="PR53" s="54"/>
      <c r="PS53" s="54"/>
      <c r="PT53" s="54"/>
      <c r="PU53" s="54"/>
      <c r="PV53" s="54"/>
      <c r="PW53" s="54"/>
      <c r="PX53" s="39"/>
      <c r="PY53" s="39"/>
      <c r="PZ53" s="39"/>
      <c r="QA53" s="39"/>
      <c r="QB53" s="39"/>
      <c r="QC53" s="39"/>
      <c r="QD53" s="39"/>
      <c r="QE53" s="39"/>
      <c r="QF53" s="39"/>
      <c r="QG53" s="39"/>
      <c r="QH53" s="39"/>
      <c r="QI53" s="54"/>
      <c r="QJ53" s="39"/>
      <c r="QK53" s="39"/>
      <c r="QL53" s="39"/>
      <c r="QM53" s="39"/>
      <c r="QN53" s="39"/>
      <c r="QO53" s="39"/>
      <c r="QP53" s="39"/>
      <c r="QQ53" s="39"/>
      <c r="QR53" s="39"/>
      <c r="QS53" s="39"/>
      <c r="QT53" s="39"/>
      <c r="QU53" s="39"/>
      <c r="QV53" s="39"/>
      <c r="QW53" s="39"/>
      <c r="QX53" s="39"/>
      <c r="QY53" s="39"/>
      <c r="QZ53" s="39"/>
      <c r="RA53" s="39"/>
      <c r="RB53" s="39"/>
      <c r="RC53" s="39"/>
      <c r="RD53" s="39"/>
      <c r="RE53" s="39"/>
      <c r="RF53" s="39"/>
      <c r="RG53" s="39"/>
      <c r="RH53" s="39"/>
      <c r="RI53" s="39"/>
      <c r="RJ53" s="39"/>
      <c r="RK53" s="39"/>
      <c r="RL53" s="39"/>
      <c r="RM53" s="39"/>
      <c r="RN53" s="39"/>
      <c r="RO53" s="39"/>
    </row>
    <row r="54" spans="1:483" s="4" customFormat="1" ht="15.75" thickBot="1" x14ac:dyDescent="0.3">
      <c r="A54" s="74" t="s">
        <v>791</v>
      </c>
      <c r="B54" s="190" t="s">
        <v>874</v>
      </c>
      <c r="C54" s="195"/>
      <c r="D54" s="72">
        <v>1884389.6</v>
      </c>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t="s">
        <v>835</v>
      </c>
      <c r="BL54" s="54"/>
      <c r="BM54" s="54"/>
      <c r="BN54" s="54"/>
      <c r="BO54" s="54"/>
      <c r="BP54" s="54"/>
      <c r="BQ54" s="54"/>
      <c r="BR54" s="54"/>
      <c r="BS54" s="54"/>
      <c r="BT54" s="54"/>
      <c r="BU54" s="54"/>
      <c r="BV54" s="54"/>
      <c r="BW54" s="54"/>
      <c r="BX54" s="54"/>
      <c r="BY54" s="54"/>
      <c r="BZ54" s="54"/>
      <c r="CA54" s="54"/>
      <c r="CB54" s="54"/>
      <c r="CC54" s="54"/>
      <c r="CD54" s="54"/>
      <c r="CE54" s="54"/>
      <c r="CF54" s="54"/>
      <c r="CG54" s="54"/>
      <c r="CH54" s="39"/>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39"/>
      <c r="FS54" s="54"/>
      <c r="FT54" s="54"/>
      <c r="FU54" s="54"/>
      <c r="FV54" s="54"/>
      <c r="FW54" s="54"/>
      <c r="FX54" s="54"/>
      <c r="FY54" s="54"/>
      <c r="FZ54" s="54"/>
      <c r="GA54" s="54"/>
      <c r="GB54" s="54"/>
      <c r="GC54" s="54"/>
      <c r="GD54" s="39"/>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c r="IP54" s="54"/>
      <c r="IQ54" s="54"/>
      <c r="IR54" s="54"/>
      <c r="IS54" s="54"/>
      <c r="IT54" s="54"/>
      <c r="IU54" s="54"/>
      <c r="IV54" s="54"/>
      <c r="IW54" s="54"/>
      <c r="IX54" s="54"/>
      <c r="IY54" s="54"/>
      <c r="IZ54" s="54"/>
      <c r="JA54" s="54"/>
      <c r="JB54" s="54"/>
      <c r="JC54" s="54"/>
      <c r="JD54" s="54"/>
      <c r="JE54" s="54"/>
      <c r="JF54" s="54"/>
      <c r="JG54" s="54"/>
      <c r="JH54" s="54"/>
      <c r="JI54" s="54"/>
      <c r="JJ54" s="54"/>
      <c r="JK54" s="54"/>
      <c r="JL54" s="54"/>
      <c r="JM54" s="54"/>
      <c r="JN54" s="54"/>
      <c r="JO54" s="54"/>
      <c r="JP54" s="54"/>
      <c r="JQ54" s="54"/>
      <c r="JR54" s="54"/>
      <c r="JS54" s="54"/>
      <c r="JT54" s="54"/>
      <c r="JU54" s="54"/>
      <c r="JV54" s="54"/>
      <c r="JW54" s="54"/>
      <c r="JX54" s="54"/>
      <c r="JY54" s="54"/>
      <c r="JZ54" s="54"/>
      <c r="KA54" s="54"/>
      <c r="KB54" s="54"/>
      <c r="KC54" s="54"/>
      <c r="KD54" s="54"/>
      <c r="KE54" s="54"/>
      <c r="KF54" s="54"/>
      <c r="KG54" s="54"/>
      <c r="KH54" s="54"/>
      <c r="KI54" s="54"/>
      <c r="KJ54" s="54"/>
      <c r="KK54" s="54"/>
      <c r="KL54" s="54"/>
      <c r="KM54" s="54"/>
      <c r="KN54" s="54"/>
      <c r="KO54" s="54"/>
      <c r="KP54" s="54"/>
      <c r="KQ54" s="54"/>
      <c r="KR54" s="39"/>
      <c r="KS54" s="54"/>
      <c r="KT54" s="54"/>
      <c r="KU54" s="54"/>
      <c r="KV54" s="54"/>
      <c r="KW54" s="54"/>
      <c r="KX54" s="54"/>
      <c r="KY54" s="54"/>
      <c r="KZ54" s="54"/>
      <c r="LA54" s="54"/>
      <c r="LB54" s="54"/>
      <c r="LC54" s="38"/>
      <c r="LD54" s="54"/>
      <c r="LE54" s="54"/>
      <c r="LF54" s="54"/>
      <c r="LG54" s="54"/>
      <c r="LH54" s="54"/>
      <c r="LI54" s="54"/>
      <c r="LJ54" s="54"/>
      <c r="LK54" s="54"/>
      <c r="LL54" s="54"/>
      <c r="LM54" s="39"/>
      <c r="LN54" s="39"/>
      <c r="LO54" s="39"/>
      <c r="LP54" s="39"/>
      <c r="LQ54" s="39"/>
      <c r="LR54" s="39"/>
      <c r="LS54" s="39"/>
      <c r="LT54" s="39"/>
      <c r="LU54" s="39"/>
      <c r="LV54" s="39"/>
      <c r="LW54" s="39"/>
      <c r="LX54" s="39"/>
      <c r="LY54" s="39"/>
      <c r="LZ54" s="39"/>
      <c r="MA54" s="39"/>
      <c r="MB54" s="39"/>
      <c r="MC54" s="39"/>
      <c r="MD54" s="39"/>
      <c r="ME54" s="39"/>
      <c r="MF54" s="39"/>
      <c r="MG54" s="39"/>
      <c r="MH54" s="39"/>
      <c r="MI54" s="39"/>
      <c r="MJ54" s="39"/>
      <c r="MK54" s="39"/>
      <c r="ML54" s="39"/>
      <c r="MM54" s="39"/>
      <c r="MN54" s="39"/>
      <c r="MO54" s="39"/>
      <c r="MP54" s="39"/>
      <c r="MQ54" s="39"/>
      <c r="MR54" s="39"/>
      <c r="MS54" s="39"/>
      <c r="MT54" s="39"/>
      <c r="MU54" s="39"/>
      <c r="MV54" s="39"/>
      <c r="MW54" s="39"/>
      <c r="MX54" s="39"/>
      <c r="MY54" s="39"/>
      <c r="MZ54" s="39"/>
      <c r="NA54" s="39"/>
      <c r="NB54" s="39"/>
      <c r="NC54" s="39"/>
      <c r="ND54" s="39"/>
      <c r="NE54" s="39"/>
      <c r="NF54" s="39"/>
      <c r="NG54" s="39"/>
      <c r="NH54" s="39"/>
      <c r="NI54" s="39"/>
      <c r="NJ54" s="54"/>
      <c r="NK54" s="39"/>
      <c r="NL54" s="39"/>
      <c r="NM54" s="39"/>
      <c r="NN54" s="54"/>
      <c r="NO54" s="54"/>
      <c r="NP54" s="54"/>
      <c r="NQ54" s="54"/>
      <c r="NR54" s="54"/>
      <c r="NS54" s="39"/>
      <c r="NT54" s="39"/>
      <c r="NU54" s="39"/>
      <c r="NV54" s="39"/>
      <c r="NW54" s="39"/>
      <c r="NX54" s="39"/>
      <c r="NY54" s="39"/>
      <c r="NZ54" s="39"/>
      <c r="OA54" s="39"/>
      <c r="OB54" s="54"/>
      <c r="OC54" s="54"/>
      <c r="OD54" s="40"/>
      <c r="OE54" s="54"/>
      <c r="OF54" s="54"/>
      <c r="OG54" s="54"/>
      <c r="OH54" s="54"/>
      <c r="OI54" s="54"/>
      <c r="OJ54" s="54"/>
      <c r="OK54" s="54"/>
      <c r="OL54" s="54"/>
      <c r="OM54" s="54"/>
      <c r="ON54" s="54"/>
      <c r="OO54" s="54"/>
      <c r="OP54" s="54"/>
      <c r="OQ54" s="54"/>
      <c r="OR54" s="54"/>
      <c r="OS54" s="54"/>
      <c r="OT54" s="54"/>
      <c r="OU54" s="54"/>
      <c r="OV54" s="54"/>
      <c r="OW54" s="39"/>
      <c r="OX54" s="54"/>
      <c r="OY54" s="54"/>
      <c r="OZ54" s="54"/>
      <c r="PA54" s="54"/>
      <c r="PB54" s="54"/>
      <c r="PC54" s="54"/>
      <c r="PD54" s="54"/>
      <c r="PE54" s="54"/>
      <c r="PF54" s="54"/>
      <c r="PG54" s="54"/>
      <c r="PH54" s="54"/>
      <c r="PI54" s="54"/>
      <c r="PJ54" s="54"/>
      <c r="PK54" s="54"/>
      <c r="PL54" s="54"/>
      <c r="PM54" s="54"/>
      <c r="PN54" s="54"/>
      <c r="PO54" s="54"/>
      <c r="PP54" s="54"/>
      <c r="PQ54" s="54"/>
      <c r="PR54" s="54"/>
      <c r="PS54" s="54"/>
      <c r="PT54" s="54"/>
      <c r="PU54" s="54"/>
      <c r="PV54" s="54"/>
      <c r="PW54" s="54"/>
      <c r="PX54" s="39"/>
      <c r="PY54" s="39"/>
      <c r="PZ54" s="39"/>
      <c r="QA54" s="39"/>
      <c r="QB54" s="39"/>
      <c r="QC54" s="39"/>
      <c r="QD54" s="39"/>
      <c r="QE54" s="39"/>
      <c r="QF54" s="39"/>
      <c r="QG54" s="39"/>
      <c r="QH54" s="39"/>
      <c r="QI54" s="54"/>
      <c r="QJ54" s="39"/>
      <c r="QK54" s="39"/>
      <c r="QL54" s="39"/>
      <c r="QM54" s="39"/>
      <c r="QN54" s="39"/>
      <c r="QO54" s="39"/>
      <c r="QP54" s="39"/>
      <c r="QQ54" s="39"/>
      <c r="QR54" s="39"/>
      <c r="QS54" s="39"/>
      <c r="QT54" s="39"/>
      <c r="QU54" s="39"/>
      <c r="QV54" s="39"/>
      <c r="QW54" s="39"/>
      <c r="QX54" s="39"/>
      <c r="QY54" s="39"/>
      <c r="QZ54" s="39"/>
      <c r="RA54" s="39"/>
      <c r="RB54" s="39"/>
      <c r="RC54" s="39"/>
      <c r="RD54" s="39"/>
      <c r="RE54" s="39"/>
      <c r="RF54" s="39"/>
      <c r="RG54" s="39"/>
      <c r="RH54" s="39"/>
      <c r="RI54" s="39"/>
      <c r="RJ54" s="39"/>
      <c r="RK54" s="39"/>
      <c r="RL54" s="39"/>
      <c r="RM54" s="39"/>
      <c r="RN54" s="39"/>
      <c r="RO54" s="39"/>
    </row>
    <row r="55" spans="1:483" s="4" customFormat="1" ht="15.75" thickBot="1" x14ac:dyDescent="0.3">
      <c r="A55" s="204" t="s">
        <v>875</v>
      </c>
      <c r="B55" s="204"/>
      <c r="C55" s="195"/>
      <c r="D55" s="72">
        <v>5637750</v>
      </c>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t="s">
        <v>835</v>
      </c>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18"/>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19"/>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row>
    <row r="56" spans="1:483" s="4" customFormat="1" ht="15.75" thickBot="1" x14ac:dyDescent="0.3">
      <c r="A56" s="74" t="s">
        <v>792</v>
      </c>
      <c r="B56" s="205" t="s">
        <v>876</v>
      </c>
      <c r="C56" s="206"/>
      <c r="D56" s="72">
        <v>1076361.1000000001</v>
      </c>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t="s">
        <v>835</v>
      </c>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c r="IJ56" s="54"/>
      <c r="IK56" s="54"/>
      <c r="IL56" s="54"/>
      <c r="IM56" s="54"/>
      <c r="IN56" s="54"/>
      <c r="IO56" s="54"/>
      <c r="IP56" s="54"/>
      <c r="IQ56" s="54"/>
      <c r="IR56" s="54"/>
      <c r="IS56" s="54"/>
      <c r="IT56" s="54"/>
      <c r="IU56" s="54"/>
      <c r="IV56" s="54"/>
      <c r="IW56" s="54"/>
      <c r="IX56" s="54"/>
      <c r="IY56" s="54"/>
      <c r="IZ56" s="54"/>
      <c r="JA56" s="54"/>
      <c r="JB56" s="54"/>
      <c r="JC56" s="54"/>
      <c r="JD56" s="54"/>
      <c r="JE56" s="54"/>
      <c r="JF56" s="54"/>
      <c r="JG56" s="54"/>
      <c r="JH56" s="54"/>
      <c r="JI56" s="54"/>
      <c r="JJ56" s="54"/>
      <c r="JK56" s="54"/>
      <c r="JL56" s="54"/>
      <c r="JM56" s="54"/>
      <c r="JN56" s="54"/>
      <c r="JO56" s="54"/>
      <c r="JP56" s="54"/>
      <c r="JQ56" s="54"/>
      <c r="JR56" s="54"/>
      <c r="JS56" s="54"/>
      <c r="JT56" s="54"/>
      <c r="JU56" s="54"/>
      <c r="JV56" s="54"/>
      <c r="JW56" s="54"/>
      <c r="JX56" s="54"/>
      <c r="JY56" s="54"/>
      <c r="JZ56" s="54"/>
      <c r="KA56" s="54"/>
      <c r="KB56" s="54"/>
      <c r="KC56" s="54"/>
      <c r="KD56" s="54"/>
      <c r="KE56" s="54"/>
      <c r="KF56" s="54"/>
      <c r="KG56" s="54"/>
      <c r="KH56" s="54"/>
      <c r="KI56" s="54"/>
      <c r="KJ56" s="54"/>
      <c r="KK56" s="54"/>
      <c r="KL56" s="54"/>
      <c r="KM56" s="54"/>
      <c r="KN56" s="54"/>
      <c r="KO56" s="54"/>
      <c r="KP56" s="54"/>
      <c r="KQ56" s="54"/>
      <c r="KR56" s="54"/>
      <c r="KS56" s="54"/>
      <c r="KT56" s="54"/>
      <c r="KU56" s="54"/>
      <c r="KV56" s="54"/>
      <c r="KW56" s="54"/>
      <c r="KX56" s="54"/>
      <c r="KY56" s="54"/>
      <c r="KZ56" s="54"/>
      <c r="LA56" s="54"/>
      <c r="LB56" s="54"/>
      <c r="LC56" s="38"/>
      <c r="LD56" s="54"/>
      <c r="LE56" s="54"/>
      <c r="LF56" s="54"/>
      <c r="LG56" s="54"/>
      <c r="LH56" s="54"/>
      <c r="LI56" s="54"/>
      <c r="LJ56" s="54"/>
      <c r="LK56" s="54"/>
      <c r="LL56" s="54"/>
      <c r="LM56" s="39"/>
      <c r="LN56" s="39"/>
      <c r="LO56" s="39"/>
      <c r="LP56" s="39"/>
      <c r="LQ56" s="39"/>
      <c r="LR56" s="39"/>
      <c r="LS56" s="39"/>
      <c r="LT56" s="39"/>
      <c r="LU56" s="39"/>
      <c r="LV56" s="39"/>
      <c r="LW56" s="39"/>
      <c r="LX56" s="39"/>
      <c r="LY56" s="39"/>
      <c r="LZ56" s="39"/>
      <c r="MA56" s="39"/>
      <c r="MB56" s="39"/>
      <c r="MC56" s="39"/>
      <c r="MD56" s="39"/>
      <c r="ME56" s="39"/>
      <c r="MF56" s="39"/>
      <c r="MG56" s="39"/>
      <c r="MH56" s="39"/>
      <c r="MI56" s="39"/>
      <c r="MJ56" s="39"/>
      <c r="MK56" s="39"/>
      <c r="ML56" s="39"/>
      <c r="MM56" s="39"/>
      <c r="MN56" s="39"/>
      <c r="MO56" s="39"/>
      <c r="MP56" s="39"/>
      <c r="MQ56" s="39"/>
      <c r="MR56" s="39"/>
      <c r="MS56" s="39"/>
      <c r="MT56" s="39"/>
      <c r="MU56" s="39"/>
      <c r="MV56" s="39"/>
      <c r="MW56" s="39"/>
      <c r="MX56" s="39"/>
      <c r="MY56" s="39"/>
      <c r="MZ56" s="39"/>
      <c r="NA56" s="39"/>
      <c r="NB56" s="39"/>
      <c r="NC56" s="39"/>
      <c r="ND56" s="39"/>
      <c r="NE56" s="39"/>
      <c r="NF56" s="39"/>
      <c r="NG56" s="39"/>
      <c r="NH56" s="39"/>
      <c r="NI56" s="39"/>
      <c r="NJ56" s="54"/>
      <c r="NK56" s="39"/>
      <c r="NL56" s="39"/>
      <c r="NM56" s="39"/>
      <c r="NN56" s="54"/>
      <c r="NO56" s="54"/>
      <c r="NP56" s="54"/>
      <c r="NQ56" s="54"/>
      <c r="NR56" s="54"/>
      <c r="NS56" s="39"/>
      <c r="NT56" s="39"/>
      <c r="NU56" s="39"/>
      <c r="NV56" s="39"/>
      <c r="NW56" s="39"/>
      <c r="NX56" s="39"/>
      <c r="NY56" s="39"/>
      <c r="NZ56" s="39"/>
      <c r="OA56" s="39"/>
      <c r="OB56" s="54"/>
      <c r="OC56" s="54"/>
      <c r="OD56" s="40"/>
      <c r="OE56" s="54"/>
      <c r="OF56" s="54"/>
      <c r="OG56" s="54"/>
      <c r="OH56" s="54"/>
      <c r="OI56" s="54"/>
      <c r="OJ56" s="54"/>
      <c r="OK56" s="54"/>
      <c r="OL56" s="54"/>
      <c r="OM56" s="54"/>
      <c r="ON56" s="54"/>
      <c r="OO56" s="54"/>
      <c r="OP56" s="54"/>
      <c r="OQ56" s="54"/>
      <c r="OR56" s="54"/>
      <c r="OS56" s="54"/>
      <c r="OT56" s="54"/>
      <c r="OU56" s="54"/>
      <c r="OV56" s="54"/>
      <c r="OW56" s="39"/>
      <c r="OX56" s="54"/>
      <c r="OY56" s="54"/>
      <c r="OZ56" s="54"/>
      <c r="PA56" s="54"/>
      <c r="PB56" s="54"/>
      <c r="PC56" s="54"/>
      <c r="PD56" s="54"/>
      <c r="PE56" s="54"/>
      <c r="PF56" s="54"/>
      <c r="PG56" s="54"/>
      <c r="PH56" s="54"/>
      <c r="PI56" s="54"/>
      <c r="PJ56" s="54"/>
      <c r="PK56" s="54"/>
      <c r="PL56" s="54"/>
      <c r="PM56" s="54"/>
      <c r="PN56" s="54"/>
      <c r="PO56" s="54"/>
      <c r="PP56" s="54"/>
      <c r="PQ56" s="54"/>
      <c r="PR56" s="54"/>
      <c r="PS56" s="54"/>
      <c r="PT56" s="54"/>
      <c r="PU56" s="54"/>
      <c r="PV56" s="54"/>
      <c r="PW56" s="54"/>
      <c r="PX56" s="39"/>
      <c r="PY56" s="39"/>
      <c r="PZ56" s="39"/>
      <c r="QA56" s="39"/>
      <c r="QB56" s="39"/>
      <c r="QC56" s="39"/>
      <c r="QD56" s="39"/>
      <c r="QE56" s="39"/>
      <c r="QF56" s="39"/>
      <c r="QG56" s="39"/>
      <c r="QH56" s="39"/>
      <c r="QI56" s="54"/>
      <c r="QJ56" s="39"/>
      <c r="QK56" s="39"/>
      <c r="QL56" s="39"/>
      <c r="QM56" s="39"/>
      <c r="QN56" s="39"/>
      <c r="QO56" s="39"/>
      <c r="QP56" s="39"/>
      <c r="QQ56" s="39"/>
      <c r="QR56" s="39"/>
      <c r="QS56" s="39"/>
      <c r="QT56" s="39"/>
      <c r="QU56" s="39"/>
      <c r="QV56" s="39"/>
      <c r="QW56" s="39"/>
      <c r="QX56" s="39"/>
      <c r="QY56" s="39"/>
      <c r="QZ56" s="39"/>
      <c r="RA56" s="39"/>
      <c r="RB56" s="39"/>
      <c r="RC56" s="39"/>
      <c r="RD56" s="39"/>
      <c r="RE56" s="39"/>
      <c r="RF56" s="39"/>
      <c r="RG56" s="39"/>
      <c r="RH56" s="39"/>
      <c r="RI56" s="39"/>
      <c r="RJ56" s="39"/>
      <c r="RK56" s="39"/>
      <c r="RL56" s="39"/>
      <c r="RM56" s="39"/>
      <c r="RN56" s="39"/>
      <c r="RO56" s="39"/>
    </row>
    <row r="57" spans="1:483" s="4" customFormat="1" ht="15.75" thickBot="1" x14ac:dyDescent="0.3">
      <c r="A57" s="74" t="s">
        <v>793</v>
      </c>
      <c r="B57" s="190" t="s">
        <v>877</v>
      </c>
      <c r="C57" s="195"/>
      <c r="D57" s="72">
        <v>3147845.4</v>
      </c>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t="s">
        <v>835</v>
      </c>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c r="IP57" s="54"/>
      <c r="IQ57" s="54"/>
      <c r="IR57" s="54"/>
      <c r="IS57" s="54"/>
      <c r="IT57" s="54"/>
      <c r="IU57" s="54"/>
      <c r="IV57" s="54"/>
      <c r="IW57" s="54"/>
      <c r="IX57" s="54"/>
      <c r="IY57" s="54"/>
      <c r="IZ57" s="54"/>
      <c r="JA57" s="54"/>
      <c r="JB57" s="54"/>
      <c r="JC57" s="54"/>
      <c r="JD57" s="54"/>
      <c r="JE57" s="54"/>
      <c r="JF57" s="54"/>
      <c r="JG57" s="54"/>
      <c r="JH57" s="54"/>
      <c r="JI57" s="54"/>
      <c r="JJ57" s="54"/>
      <c r="JK57" s="54"/>
      <c r="JL57" s="54"/>
      <c r="JM57" s="54"/>
      <c r="JN57" s="54"/>
      <c r="JO57" s="54"/>
      <c r="JP57" s="54"/>
      <c r="JQ57" s="54"/>
      <c r="JR57" s="54"/>
      <c r="JS57" s="54"/>
      <c r="JT57" s="54"/>
      <c r="JU57" s="54"/>
      <c r="JV57" s="54"/>
      <c r="JW57" s="54"/>
      <c r="JX57" s="54"/>
      <c r="JY57" s="54"/>
      <c r="JZ57" s="54"/>
      <c r="KA57" s="54"/>
      <c r="KB57" s="54"/>
      <c r="KC57" s="54"/>
      <c r="KD57" s="54"/>
      <c r="KE57" s="54"/>
      <c r="KF57" s="54"/>
      <c r="KG57" s="54"/>
      <c r="KH57" s="54"/>
      <c r="KI57" s="54"/>
      <c r="KJ57" s="54"/>
      <c r="KK57" s="54"/>
      <c r="KL57" s="54"/>
      <c r="KM57" s="54"/>
      <c r="KN57" s="54"/>
      <c r="KO57" s="54"/>
      <c r="KP57" s="54"/>
      <c r="KQ57" s="54"/>
      <c r="KR57" s="54"/>
      <c r="KS57" s="54"/>
      <c r="KT57" s="54"/>
      <c r="KU57" s="54"/>
      <c r="KV57" s="54"/>
      <c r="KW57" s="54"/>
      <c r="KX57" s="54"/>
      <c r="KY57" s="54"/>
      <c r="KZ57" s="54"/>
      <c r="LA57" s="54"/>
      <c r="LB57" s="54"/>
      <c r="LC57" s="38"/>
      <c r="LD57" s="54"/>
      <c r="LE57" s="54"/>
      <c r="LF57" s="54"/>
      <c r="LG57" s="54"/>
      <c r="LH57" s="54"/>
      <c r="LI57" s="54"/>
      <c r="LJ57" s="54"/>
      <c r="LK57" s="54"/>
      <c r="LL57" s="54"/>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39"/>
      <c r="NJ57" s="54"/>
      <c r="NK57" s="39"/>
      <c r="NL57" s="39"/>
      <c r="NM57" s="39"/>
      <c r="NN57" s="54"/>
      <c r="NO57" s="54"/>
      <c r="NP57" s="54"/>
      <c r="NQ57" s="54"/>
      <c r="NR57" s="54"/>
      <c r="NS57" s="39"/>
      <c r="NT57" s="39"/>
      <c r="NU57" s="39"/>
      <c r="NV57" s="39"/>
      <c r="NW57" s="39"/>
      <c r="NX57" s="39"/>
      <c r="NY57" s="39"/>
      <c r="NZ57" s="39"/>
      <c r="OA57" s="39"/>
      <c r="OB57" s="54"/>
      <c r="OC57" s="54"/>
      <c r="OD57" s="40"/>
      <c r="OE57" s="54"/>
      <c r="OF57" s="54"/>
      <c r="OG57" s="54"/>
      <c r="OH57" s="54"/>
      <c r="OI57" s="54"/>
      <c r="OJ57" s="54"/>
      <c r="OK57" s="54"/>
      <c r="OL57" s="54"/>
      <c r="OM57" s="54"/>
      <c r="ON57" s="54"/>
      <c r="OO57" s="54"/>
      <c r="OP57" s="54"/>
      <c r="OQ57" s="54"/>
      <c r="OR57" s="54"/>
      <c r="OS57" s="54"/>
      <c r="OT57" s="54"/>
      <c r="OU57" s="54"/>
      <c r="OV57" s="54"/>
      <c r="OW57" s="39"/>
      <c r="OX57" s="54"/>
      <c r="OY57" s="54"/>
      <c r="OZ57" s="54"/>
      <c r="PA57" s="54"/>
      <c r="PB57" s="54"/>
      <c r="PC57" s="54"/>
      <c r="PD57" s="54"/>
      <c r="PE57" s="54"/>
      <c r="PF57" s="54"/>
      <c r="PG57" s="54"/>
      <c r="PH57" s="54"/>
      <c r="PI57" s="54"/>
      <c r="PJ57" s="54"/>
      <c r="PK57" s="54"/>
      <c r="PL57" s="54"/>
      <c r="PM57" s="54"/>
      <c r="PN57" s="54"/>
      <c r="PO57" s="54"/>
      <c r="PP57" s="54"/>
      <c r="PQ57" s="54"/>
      <c r="PR57" s="54"/>
      <c r="PS57" s="54"/>
      <c r="PT57" s="54"/>
      <c r="PU57" s="54"/>
      <c r="PV57" s="54"/>
      <c r="PW57" s="54"/>
      <c r="PX57" s="39"/>
      <c r="PY57" s="39"/>
      <c r="PZ57" s="39"/>
      <c r="QA57" s="39"/>
      <c r="QB57" s="39"/>
      <c r="QC57" s="39"/>
      <c r="QD57" s="39"/>
      <c r="QE57" s="39"/>
      <c r="QF57" s="39"/>
      <c r="QG57" s="39"/>
      <c r="QH57" s="39"/>
      <c r="QI57" s="54"/>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row>
    <row r="58" spans="1:483" s="4" customFormat="1" ht="15.75" thickBot="1" x14ac:dyDescent="0.3">
      <c r="A58" s="74" t="s">
        <v>794</v>
      </c>
      <c r="B58" s="190" t="s">
        <v>878</v>
      </c>
      <c r="C58" s="195"/>
      <c r="D58" s="72">
        <v>1038.5</v>
      </c>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t="s">
        <v>835</v>
      </c>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c r="HL58" s="54"/>
      <c r="HM58" s="54"/>
      <c r="HN58" s="54"/>
      <c r="HO58" s="54"/>
      <c r="HP58" s="54"/>
      <c r="HQ58" s="54"/>
      <c r="HR58" s="54"/>
      <c r="HS58" s="54"/>
      <c r="HT58" s="54"/>
      <c r="HU58" s="54"/>
      <c r="HV58" s="54"/>
      <c r="HW58" s="54"/>
      <c r="HX58" s="54"/>
      <c r="HY58" s="54"/>
      <c r="HZ58" s="54"/>
      <c r="IA58" s="54"/>
      <c r="IB58" s="54"/>
      <c r="IC58" s="54"/>
      <c r="ID58" s="54"/>
      <c r="IE58" s="54"/>
      <c r="IF58" s="54"/>
      <c r="IG58" s="54"/>
      <c r="IH58" s="54"/>
      <c r="II58" s="54"/>
      <c r="IJ58" s="54"/>
      <c r="IK58" s="54"/>
      <c r="IL58" s="54"/>
      <c r="IM58" s="54"/>
      <c r="IN58" s="54"/>
      <c r="IO58" s="54"/>
      <c r="IP58" s="54"/>
      <c r="IQ58" s="54"/>
      <c r="IR58" s="54"/>
      <c r="IS58" s="54"/>
      <c r="IT58" s="54"/>
      <c r="IU58" s="54"/>
      <c r="IV58" s="54"/>
      <c r="IW58" s="54"/>
      <c r="IX58" s="54"/>
      <c r="IY58" s="54"/>
      <c r="IZ58" s="54"/>
      <c r="JA58" s="54"/>
      <c r="JB58" s="54"/>
      <c r="JC58" s="54"/>
      <c r="JD58" s="54"/>
      <c r="JE58" s="54"/>
      <c r="JF58" s="54"/>
      <c r="JG58" s="54"/>
      <c r="JH58" s="54"/>
      <c r="JI58" s="54"/>
      <c r="JJ58" s="54"/>
      <c r="JK58" s="54"/>
      <c r="JL58" s="54"/>
      <c r="JM58" s="54"/>
      <c r="JN58" s="54"/>
      <c r="JO58" s="54"/>
      <c r="JP58" s="54"/>
      <c r="JQ58" s="54"/>
      <c r="JR58" s="54"/>
      <c r="JS58" s="54"/>
      <c r="JT58" s="54"/>
      <c r="JU58" s="54"/>
      <c r="JV58" s="54"/>
      <c r="JW58" s="54"/>
      <c r="JX58" s="54"/>
      <c r="JY58" s="54"/>
      <c r="JZ58" s="54"/>
      <c r="KA58" s="54"/>
      <c r="KB58" s="54"/>
      <c r="KC58" s="54"/>
      <c r="KD58" s="54"/>
      <c r="KE58" s="54"/>
      <c r="KF58" s="54"/>
      <c r="KG58" s="54"/>
      <c r="KH58" s="54"/>
      <c r="KI58" s="54"/>
      <c r="KJ58" s="54"/>
      <c r="KK58" s="54"/>
      <c r="KL58" s="54"/>
      <c r="KM58" s="54"/>
      <c r="KN58" s="54"/>
      <c r="KO58" s="54"/>
      <c r="KP58" s="54"/>
      <c r="KQ58" s="54"/>
      <c r="KR58" s="54"/>
      <c r="KS58" s="54"/>
      <c r="KT58" s="54"/>
      <c r="KU58" s="54"/>
      <c r="KV58" s="54"/>
      <c r="KW58" s="54"/>
      <c r="KX58" s="54"/>
      <c r="KY58" s="54"/>
      <c r="KZ58" s="54"/>
      <c r="LA58" s="54"/>
      <c r="LB58" s="54"/>
      <c r="LC58" s="38"/>
      <c r="LD58" s="54"/>
      <c r="LE58" s="54"/>
      <c r="LF58" s="54"/>
      <c r="LG58" s="54"/>
      <c r="LH58" s="54"/>
      <c r="LI58" s="54"/>
      <c r="LJ58" s="54"/>
      <c r="LK58" s="54"/>
      <c r="LL58" s="54"/>
      <c r="LM58" s="39"/>
      <c r="LN58" s="39"/>
      <c r="LO58" s="39"/>
      <c r="LP58" s="39"/>
      <c r="LQ58" s="39"/>
      <c r="LR58" s="39"/>
      <c r="LS58" s="39"/>
      <c r="LT58" s="39"/>
      <c r="LU58" s="39"/>
      <c r="LV58" s="39"/>
      <c r="LW58" s="39"/>
      <c r="LX58" s="39"/>
      <c r="LY58" s="39"/>
      <c r="LZ58" s="39"/>
      <c r="MA58" s="39"/>
      <c r="MB58" s="39"/>
      <c r="MC58" s="39"/>
      <c r="MD58" s="39"/>
      <c r="ME58" s="39"/>
      <c r="MF58" s="39"/>
      <c r="MG58" s="39"/>
      <c r="MH58" s="39"/>
      <c r="MI58" s="39"/>
      <c r="MJ58" s="39"/>
      <c r="MK58" s="39"/>
      <c r="ML58" s="39"/>
      <c r="MM58" s="39"/>
      <c r="MN58" s="39"/>
      <c r="MO58" s="39"/>
      <c r="MP58" s="39"/>
      <c r="MQ58" s="39"/>
      <c r="MR58" s="39"/>
      <c r="MS58" s="39"/>
      <c r="MT58" s="39"/>
      <c r="MU58" s="39"/>
      <c r="MV58" s="39"/>
      <c r="MW58" s="39"/>
      <c r="MX58" s="39"/>
      <c r="MY58" s="39"/>
      <c r="MZ58" s="39"/>
      <c r="NA58" s="39"/>
      <c r="NB58" s="39"/>
      <c r="NC58" s="39"/>
      <c r="ND58" s="39"/>
      <c r="NE58" s="39"/>
      <c r="NF58" s="39"/>
      <c r="NG58" s="39"/>
      <c r="NH58" s="39"/>
      <c r="NI58" s="39"/>
      <c r="NJ58" s="54"/>
      <c r="NK58" s="39"/>
      <c r="NL58" s="39"/>
      <c r="NM58" s="39"/>
      <c r="NN58" s="54"/>
      <c r="NO58" s="54"/>
      <c r="NP58" s="54"/>
      <c r="NQ58" s="54"/>
      <c r="NR58" s="54"/>
      <c r="NS58" s="39"/>
      <c r="NT58" s="39"/>
      <c r="NU58" s="39"/>
      <c r="NV58" s="39"/>
      <c r="NW58" s="39"/>
      <c r="NX58" s="39"/>
      <c r="NY58" s="39"/>
      <c r="NZ58" s="39"/>
      <c r="OA58" s="39"/>
      <c r="OB58" s="54"/>
      <c r="OC58" s="54"/>
      <c r="OD58" s="40"/>
      <c r="OE58" s="54"/>
      <c r="OF58" s="54"/>
      <c r="OG58" s="54"/>
      <c r="OH58" s="54"/>
      <c r="OI58" s="54"/>
      <c r="OJ58" s="54"/>
      <c r="OK58" s="54"/>
      <c r="OL58" s="54"/>
      <c r="OM58" s="54"/>
      <c r="ON58" s="54"/>
      <c r="OO58" s="54"/>
      <c r="OP58" s="54"/>
      <c r="OQ58" s="54"/>
      <c r="OR58" s="54"/>
      <c r="OS58" s="54"/>
      <c r="OT58" s="54"/>
      <c r="OU58" s="54"/>
      <c r="OV58" s="54"/>
      <c r="OW58" s="39"/>
      <c r="OX58" s="54"/>
      <c r="OY58" s="54"/>
      <c r="OZ58" s="54"/>
      <c r="PA58" s="54"/>
      <c r="PB58" s="54"/>
      <c r="PC58" s="54"/>
      <c r="PD58" s="54"/>
      <c r="PE58" s="54"/>
      <c r="PF58" s="54"/>
      <c r="PG58" s="54"/>
      <c r="PH58" s="54"/>
      <c r="PI58" s="54"/>
      <c r="PJ58" s="54"/>
      <c r="PK58" s="54"/>
      <c r="PL58" s="54"/>
      <c r="PM58" s="54"/>
      <c r="PN58" s="54"/>
      <c r="PO58" s="54"/>
      <c r="PP58" s="54"/>
      <c r="PQ58" s="54"/>
      <c r="PR58" s="54"/>
      <c r="PS58" s="54"/>
      <c r="PT58" s="54"/>
      <c r="PU58" s="54"/>
      <c r="PV58" s="54"/>
      <c r="PW58" s="54"/>
      <c r="PX58" s="39"/>
      <c r="PY58" s="39"/>
      <c r="PZ58" s="39"/>
      <c r="QA58" s="39"/>
      <c r="QB58" s="39"/>
      <c r="QC58" s="39"/>
      <c r="QD58" s="39"/>
      <c r="QE58" s="39"/>
      <c r="QF58" s="39"/>
      <c r="QG58" s="39"/>
      <c r="QH58" s="39"/>
      <c r="QI58" s="54"/>
      <c r="QJ58" s="39"/>
      <c r="QK58" s="39"/>
      <c r="QL58" s="39"/>
      <c r="QM58" s="39"/>
      <c r="QN58" s="39"/>
      <c r="QO58" s="39"/>
      <c r="QP58" s="39"/>
      <c r="QQ58" s="39"/>
      <c r="QR58" s="39"/>
      <c r="QS58" s="39"/>
      <c r="QT58" s="39"/>
      <c r="QU58" s="39"/>
      <c r="QV58" s="39"/>
      <c r="QW58" s="39"/>
      <c r="QX58" s="39"/>
      <c r="QY58" s="39"/>
      <c r="QZ58" s="39"/>
      <c r="RA58" s="39"/>
      <c r="RB58" s="39"/>
      <c r="RC58" s="39"/>
      <c r="RD58" s="39"/>
      <c r="RE58" s="39"/>
      <c r="RF58" s="39"/>
      <c r="RG58" s="39"/>
      <c r="RH58" s="39"/>
      <c r="RI58" s="39"/>
      <c r="RJ58" s="39"/>
      <c r="RK58" s="39"/>
      <c r="RL58" s="39"/>
      <c r="RM58" s="39"/>
      <c r="RN58" s="39"/>
      <c r="RO58" s="39"/>
    </row>
    <row r="59" spans="1:483" s="4" customFormat="1" ht="15.75" thickBot="1" x14ac:dyDescent="0.3">
      <c r="A59" s="74" t="s">
        <v>795</v>
      </c>
      <c r="B59" s="190" t="s">
        <v>879</v>
      </c>
      <c r="C59" s="195"/>
      <c r="D59" s="72">
        <v>1410818.7</v>
      </c>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t="s">
        <v>835</v>
      </c>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c r="HS59" s="54"/>
      <c r="HT59" s="54"/>
      <c r="HU59" s="54"/>
      <c r="HV59" s="54"/>
      <c r="HW59" s="54"/>
      <c r="HX59" s="54"/>
      <c r="HY59" s="54"/>
      <c r="HZ59" s="54"/>
      <c r="IA59" s="54"/>
      <c r="IB59" s="54"/>
      <c r="IC59" s="54"/>
      <c r="ID59" s="54"/>
      <c r="IE59" s="54"/>
      <c r="IF59" s="54"/>
      <c r="IG59" s="54"/>
      <c r="IH59" s="54"/>
      <c r="II59" s="54"/>
      <c r="IJ59" s="54"/>
      <c r="IK59" s="54"/>
      <c r="IL59" s="54"/>
      <c r="IM59" s="54"/>
      <c r="IN59" s="54"/>
      <c r="IO59" s="54"/>
      <c r="IP59" s="54"/>
      <c r="IQ59" s="54"/>
      <c r="IR59" s="54"/>
      <c r="IS59" s="54"/>
      <c r="IT59" s="54"/>
      <c r="IU59" s="54"/>
      <c r="IV59" s="54"/>
      <c r="IW59" s="54"/>
      <c r="IX59" s="54"/>
      <c r="IY59" s="54"/>
      <c r="IZ59" s="54"/>
      <c r="JA59" s="54"/>
      <c r="JB59" s="54"/>
      <c r="JC59" s="54"/>
      <c r="JD59" s="54"/>
      <c r="JE59" s="54"/>
      <c r="JF59" s="54"/>
      <c r="JG59" s="54"/>
      <c r="JH59" s="54"/>
      <c r="JI59" s="54"/>
      <c r="JJ59" s="54"/>
      <c r="JK59" s="54"/>
      <c r="JL59" s="54"/>
      <c r="JM59" s="54"/>
      <c r="JN59" s="54"/>
      <c r="JO59" s="54"/>
      <c r="JP59" s="54"/>
      <c r="JQ59" s="54"/>
      <c r="JR59" s="54"/>
      <c r="JS59" s="54"/>
      <c r="JT59" s="54"/>
      <c r="JU59" s="54"/>
      <c r="JV59" s="54"/>
      <c r="JW59" s="54"/>
      <c r="JX59" s="54"/>
      <c r="JY59" s="54"/>
      <c r="JZ59" s="54"/>
      <c r="KA59" s="54"/>
      <c r="KB59" s="54"/>
      <c r="KC59" s="54"/>
      <c r="KD59" s="54"/>
      <c r="KE59" s="54"/>
      <c r="KF59" s="54"/>
      <c r="KG59" s="54"/>
      <c r="KH59" s="54"/>
      <c r="KI59" s="54"/>
      <c r="KJ59" s="54"/>
      <c r="KK59" s="54"/>
      <c r="KL59" s="54"/>
      <c r="KM59" s="54"/>
      <c r="KN59" s="54"/>
      <c r="KO59" s="54"/>
      <c r="KP59" s="54"/>
      <c r="KQ59" s="54"/>
      <c r="KR59" s="54"/>
      <c r="KS59" s="54"/>
      <c r="KT59" s="54"/>
      <c r="KU59" s="54"/>
      <c r="KV59" s="54"/>
      <c r="KW59" s="54"/>
      <c r="KX59" s="54"/>
      <c r="KY59" s="54"/>
      <c r="KZ59" s="54"/>
      <c r="LA59" s="54"/>
      <c r="LB59" s="54"/>
      <c r="LC59" s="38"/>
      <c r="LD59" s="54"/>
      <c r="LE59" s="54"/>
      <c r="LF59" s="54"/>
      <c r="LG59" s="54"/>
      <c r="LH59" s="54"/>
      <c r="LI59" s="54"/>
      <c r="LJ59" s="54"/>
      <c r="LK59" s="54"/>
      <c r="LL59" s="54"/>
      <c r="LM59" s="39"/>
      <c r="LN59" s="39"/>
      <c r="LO59" s="39"/>
      <c r="LP59" s="39"/>
      <c r="LQ59" s="39"/>
      <c r="LR59" s="39"/>
      <c r="LS59" s="39"/>
      <c r="LT59" s="39"/>
      <c r="LU59" s="39"/>
      <c r="LV59" s="39"/>
      <c r="LW59" s="39"/>
      <c r="LX59" s="39"/>
      <c r="LY59" s="39"/>
      <c r="LZ59" s="39"/>
      <c r="MA59" s="39"/>
      <c r="MB59" s="39"/>
      <c r="MC59" s="39"/>
      <c r="MD59" s="39"/>
      <c r="ME59" s="39"/>
      <c r="MF59" s="39"/>
      <c r="MG59" s="39"/>
      <c r="MH59" s="39"/>
      <c r="MI59" s="39"/>
      <c r="MJ59" s="39"/>
      <c r="MK59" s="39"/>
      <c r="ML59" s="39"/>
      <c r="MM59" s="39"/>
      <c r="MN59" s="39"/>
      <c r="MO59" s="39"/>
      <c r="MP59" s="39"/>
      <c r="MQ59" s="39"/>
      <c r="MR59" s="39"/>
      <c r="MS59" s="39"/>
      <c r="MT59" s="39"/>
      <c r="MU59" s="39"/>
      <c r="MV59" s="39"/>
      <c r="MW59" s="39"/>
      <c r="MX59" s="39"/>
      <c r="MY59" s="39"/>
      <c r="MZ59" s="39"/>
      <c r="NA59" s="39"/>
      <c r="NB59" s="39"/>
      <c r="NC59" s="39"/>
      <c r="ND59" s="39"/>
      <c r="NE59" s="39"/>
      <c r="NF59" s="39"/>
      <c r="NG59" s="39"/>
      <c r="NH59" s="39"/>
      <c r="NI59" s="39"/>
      <c r="NJ59" s="54"/>
      <c r="NK59" s="39"/>
      <c r="NL59" s="39"/>
      <c r="NM59" s="39"/>
      <c r="NN59" s="54"/>
      <c r="NO59" s="54"/>
      <c r="NP59" s="54"/>
      <c r="NQ59" s="54"/>
      <c r="NR59" s="54"/>
      <c r="NS59" s="39"/>
      <c r="NT59" s="39"/>
      <c r="NU59" s="39"/>
      <c r="NV59" s="39"/>
      <c r="NW59" s="39"/>
      <c r="NX59" s="39"/>
      <c r="NY59" s="39"/>
      <c r="NZ59" s="39"/>
      <c r="OA59" s="39"/>
      <c r="OB59" s="54"/>
      <c r="OC59" s="54"/>
      <c r="OD59" s="40"/>
      <c r="OE59" s="54"/>
      <c r="OF59" s="54"/>
      <c r="OG59" s="54"/>
      <c r="OH59" s="54"/>
      <c r="OI59" s="54"/>
      <c r="OJ59" s="54"/>
      <c r="OK59" s="54"/>
      <c r="OL59" s="54"/>
      <c r="OM59" s="54"/>
      <c r="ON59" s="54"/>
      <c r="OO59" s="54"/>
      <c r="OP59" s="54"/>
      <c r="OQ59" s="54"/>
      <c r="OR59" s="54"/>
      <c r="OS59" s="54"/>
      <c r="OT59" s="54"/>
      <c r="OU59" s="54"/>
      <c r="OV59" s="54"/>
      <c r="OW59" s="39"/>
      <c r="OX59" s="54"/>
      <c r="OY59" s="54"/>
      <c r="OZ59" s="54"/>
      <c r="PA59" s="54"/>
      <c r="PB59" s="54"/>
      <c r="PC59" s="54"/>
      <c r="PD59" s="54"/>
      <c r="PE59" s="54"/>
      <c r="PF59" s="54"/>
      <c r="PG59" s="54"/>
      <c r="PH59" s="54"/>
      <c r="PI59" s="54"/>
      <c r="PJ59" s="54"/>
      <c r="PK59" s="54"/>
      <c r="PL59" s="54"/>
      <c r="PM59" s="54"/>
      <c r="PN59" s="54"/>
      <c r="PO59" s="54"/>
      <c r="PP59" s="54"/>
      <c r="PQ59" s="54"/>
      <c r="PR59" s="54"/>
      <c r="PS59" s="54"/>
      <c r="PT59" s="54"/>
      <c r="PU59" s="54"/>
      <c r="PV59" s="54"/>
      <c r="PW59" s="54"/>
      <c r="PX59" s="39"/>
      <c r="PY59" s="39"/>
      <c r="PZ59" s="39"/>
      <c r="QA59" s="39"/>
      <c r="QB59" s="39"/>
      <c r="QC59" s="39"/>
      <c r="QD59" s="39"/>
      <c r="QE59" s="39"/>
      <c r="QF59" s="39"/>
      <c r="QG59" s="39"/>
      <c r="QH59" s="39"/>
      <c r="QI59" s="54"/>
      <c r="QJ59" s="39"/>
      <c r="QK59" s="39"/>
      <c r="QL59" s="39"/>
      <c r="QM59" s="39"/>
      <c r="QN59" s="39"/>
      <c r="QO59" s="39"/>
      <c r="QP59" s="39"/>
      <c r="QQ59" s="39"/>
      <c r="QR59" s="39"/>
      <c r="QS59" s="39"/>
      <c r="QT59" s="39"/>
      <c r="QU59" s="39"/>
      <c r="QV59" s="39"/>
      <c r="QW59" s="39"/>
      <c r="QX59" s="39"/>
      <c r="QY59" s="39"/>
      <c r="QZ59" s="39"/>
      <c r="RA59" s="39"/>
      <c r="RB59" s="39"/>
      <c r="RC59" s="39"/>
      <c r="RD59" s="39"/>
      <c r="RE59" s="39"/>
      <c r="RF59" s="39"/>
      <c r="RG59" s="39"/>
      <c r="RH59" s="39"/>
      <c r="RI59" s="39"/>
      <c r="RJ59" s="39"/>
      <c r="RK59" s="39"/>
      <c r="RL59" s="39"/>
      <c r="RM59" s="39"/>
      <c r="RN59" s="39"/>
      <c r="RO59" s="39"/>
    </row>
    <row r="60" spans="1:483" s="4" customFormat="1" ht="15.75" thickBot="1" x14ac:dyDescent="0.3">
      <c r="A60" s="74" t="s">
        <v>796</v>
      </c>
      <c r="B60" s="190" t="s">
        <v>864</v>
      </c>
      <c r="C60" s="195"/>
      <c r="D60" s="72">
        <v>0</v>
      </c>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t="s">
        <v>835</v>
      </c>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c r="HL60" s="54"/>
      <c r="HM60" s="54"/>
      <c r="HN60" s="54"/>
      <c r="HO60" s="54"/>
      <c r="HP60" s="54"/>
      <c r="HQ60" s="54"/>
      <c r="HR60" s="54"/>
      <c r="HS60" s="54"/>
      <c r="HT60" s="54"/>
      <c r="HU60" s="54"/>
      <c r="HV60" s="54"/>
      <c r="HW60" s="54"/>
      <c r="HX60" s="54"/>
      <c r="HY60" s="54"/>
      <c r="HZ60" s="54"/>
      <c r="IA60" s="54"/>
      <c r="IB60" s="54"/>
      <c r="IC60" s="54"/>
      <c r="ID60" s="54"/>
      <c r="IE60" s="54"/>
      <c r="IF60" s="54"/>
      <c r="IG60" s="54"/>
      <c r="IH60" s="54"/>
      <c r="II60" s="54"/>
      <c r="IJ60" s="54"/>
      <c r="IK60" s="54"/>
      <c r="IL60" s="54"/>
      <c r="IM60" s="54"/>
      <c r="IN60" s="54"/>
      <c r="IO60" s="54"/>
      <c r="IP60" s="54"/>
      <c r="IQ60" s="54"/>
      <c r="IR60" s="54"/>
      <c r="IS60" s="54"/>
      <c r="IT60" s="54"/>
      <c r="IU60" s="54"/>
      <c r="IV60" s="54"/>
      <c r="IW60" s="54"/>
      <c r="IX60" s="54"/>
      <c r="IY60" s="54"/>
      <c r="IZ60" s="54"/>
      <c r="JA60" s="54"/>
      <c r="JB60" s="54"/>
      <c r="JC60" s="54"/>
      <c r="JD60" s="54"/>
      <c r="JE60" s="54"/>
      <c r="JF60" s="54"/>
      <c r="JG60" s="54"/>
      <c r="JH60" s="54"/>
      <c r="JI60" s="54"/>
      <c r="JJ60" s="54"/>
      <c r="JK60" s="54"/>
      <c r="JL60" s="54"/>
      <c r="JM60" s="54"/>
      <c r="JN60" s="54"/>
      <c r="JO60" s="54"/>
      <c r="JP60" s="54"/>
      <c r="JQ60" s="54"/>
      <c r="JR60" s="54"/>
      <c r="JS60" s="54"/>
      <c r="JT60" s="54"/>
      <c r="JU60" s="54"/>
      <c r="JV60" s="54"/>
      <c r="JW60" s="54"/>
      <c r="JX60" s="54"/>
      <c r="JY60" s="54"/>
      <c r="JZ60" s="54"/>
      <c r="KA60" s="54"/>
      <c r="KB60" s="54"/>
      <c r="KC60" s="54"/>
      <c r="KD60" s="54"/>
      <c r="KE60" s="54"/>
      <c r="KF60" s="54"/>
      <c r="KG60" s="54"/>
      <c r="KH60" s="54"/>
      <c r="KI60" s="54"/>
      <c r="KJ60" s="54"/>
      <c r="KK60" s="54"/>
      <c r="KL60" s="54"/>
      <c r="KM60" s="54"/>
      <c r="KN60" s="54"/>
      <c r="KO60" s="54"/>
      <c r="KP60" s="54"/>
      <c r="KQ60" s="54"/>
      <c r="KR60" s="54"/>
      <c r="KS60" s="54"/>
      <c r="KT60" s="54"/>
      <c r="KU60" s="54"/>
      <c r="KV60" s="54"/>
      <c r="KW60" s="54"/>
      <c r="KX60" s="54"/>
      <c r="KY60" s="54"/>
      <c r="KZ60" s="54"/>
      <c r="LA60" s="54"/>
      <c r="LB60" s="54"/>
      <c r="LC60" s="38"/>
      <c r="LD60" s="54"/>
      <c r="LE60" s="54"/>
      <c r="LF60" s="54"/>
      <c r="LG60" s="54"/>
      <c r="LH60" s="54"/>
      <c r="LI60" s="54"/>
      <c r="LJ60" s="54"/>
      <c r="LK60" s="54"/>
      <c r="LL60" s="54"/>
      <c r="LM60" s="39"/>
      <c r="LN60" s="39"/>
      <c r="LO60" s="39"/>
      <c r="LP60" s="39"/>
      <c r="LQ60" s="39"/>
      <c r="LR60" s="39"/>
      <c r="LS60" s="39"/>
      <c r="LT60" s="39"/>
      <c r="LU60" s="39"/>
      <c r="LV60" s="39"/>
      <c r="LW60" s="39"/>
      <c r="LX60" s="39"/>
      <c r="LY60" s="39"/>
      <c r="LZ60" s="39"/>
      <c r="MA60" s="39"/>
      <c r="MB60" s="39"/>
      <c r="MC60" s="39"/>
      <c r="MD60" s="39"/>
      <c r="ME60" s="39"/>
      <c r="MF60" s="39"/>
      <c r="MG60" s="39"/>
      <c r="MH60" s="39"/>
      <c r="MI60" s="39"/>
      <c r="MJ60" s="39"/>
      <c r="MK60" s="39"/>
      <c r="ML60" s="39"/>
      <c r="MM60" s="39"/>
      <c r="MN60" s="39"/>
      <c r="MO60" s="39"/>
      <c r="MP60" s="39"/>
      <c r="MQ60" s="39"/>
      <c r="MR60" s="39"/>
      <c r="MS60" s="39"/>
      <c r="MT60" s="39"/>
      <c r="MU60" s="39"/>
      <c r="MV60" s="39"/>
      <c r="MW60" s="39"/>
      <c r="MX60" s="39"/>
      <c r="MY60" s="39"/>
      <c r="MZ60" s="39"/>
      <c r="NA60" s="39"/>
      <c r="NB60" s="39"/>
      <c r="NC60" s="39"/>
      <c r="ND60" s="39"/>
      <c r="NE60" s="39"/>
      <c r="NF60" s="39"/>
      <c r="NG60" s="39"/>
      <c r="NH60" s="39"/>
      <c r="NI60" s="39"/>
      <c r="NJ60" s="54"/>
      <c r="NK60" s="39"/>
      <c r="NL60" s="39"/>
      <c r="NM60" s="39"/>
      <c r="NN60" s="54"/>
      <c r="NO60" s="54"/>
      <c r="NP60" s="54"/>
      <c r="NQ60" s="54"/>
      <c r="NR60" s="54"/>
      <c r="NS60" s="39"/>
      <c r="NT60" s="39"/>
      <c r="NU60" s="39"/>
      <c r="NV60" s="39"/>
      <c r="NW60" s="39"/>
      <c r="NX60" s="39"/>
      <c r="NY60" s="39"/>
      <c r="NZ60" s="39"/>
      <c r="OA60" s="39"/>
      <c r="OB60" s="54"/>
      <c r="OC60" s="54"/>
      <c r="OD60" s="40"/>
      <c r="OE60" s="54"/>
      <c r="OF60" s="54"/>
      <c r="OG60" s="54"/>
      <c r="OH60" s="54"/>
      <c r="OI60" s="54"/>
      <c r="OJ60" s="54"/>
      <c r="OK60" s="54"/>
      <c r="OL60" s="54"/>
      <c r="OM60" s="54"/>
      <c r="ON60" s="54"/>
      <c r="OO60" s="54"/>
      <c r="OP60" s="54"/>
      <c r="OQ60" s="54"/>
      <c r="OR60" s="54"/>
      <c r="OS60" s="54"/>
      <c r="OT60" s="54"/>
      <c r="OU60" s="54"/>
      <c r="OV60" s="54"/>
      <c r="OW60" s="39"/>
      <c r="OX60" s="54"/>
      <c r="OY60" s="54"/>
      <c r="OZ60" s="54"/>
      <c r="PA60" s="54"/>
      <c r="PB60" s="54"/>
      <c r="PC60" s="54"/>
      <c r="PD60" s="54"/>
      <c r="PE60" s="54"/>
      <c r="PF60" s="54"/>
      <c r="PG60" s="54"/>
      <c r="PH60" s="54"/>
      <c r="PI60" s="54"/>
      <c r="PJ60" s="54"/>
      <c r="PK60" s="54"/>
      <c r="PL60" s="54"/>
      <c r="PM60" s="54"/>
      <c r="PN60" s="54"/>
      <c r="PO60" s="54"/>
      <c r="PP60" s="54"/>
      <c r="PQ60" s="54"/>
      <c r="PR60" s="54"/>
      <c r="PS60" s="54"/>
      <c r="PT60" s="54"/>
      <c r="PU60" s="54"/>
      <c r="PV60" s="54"/>
      <c r="PW60" s="54"/>
      <c r="PX60" s="39"/>
      <c r="PY60" s="39"/>
      <c r="PZ60" s="39"/>
      <c r="QA60" s="39"/>
      <c r="QB60" s="39"/>
      <c r="QC60" s="39"/>
      <c r="QD60" s="39"/>
      <c r="QE60" s="39"/>
      <c r="QF60" s="39"/>
      <c r="QG60" s="39"/>
      <c r="QH60" s="39"/>
      <c r="QI60" s="54"/>
      <c r="QJ60" s="39"/>
      <c r="QK60" s="39"/>
      <c r="QL60" s="39"/>
      <c r="QM60" s="39"/>
      <c r="QN60" s="39"/>
      <c r="QO60" s="39"/>
      <c r="QP60" s="39"/>
      <c r="QQ60" s="39"/>
      <c r="QR60" s="39"/>
      <c r="QS60" s="39"/>
      <c r="QT60" s="39"/>
      <c r="QU60" s="39"/>
      <c r="QV60" s="39"/>
      <c r="QW60" s="39"/>
      <c r="QX60" s="39"/>
      <c r="QY60" s="39"/>
      <c r="QZ60" s="39"/>
      <c r="RA60" s="39"/>
      <c r="RB60" s="39"/>
      <c r="RC60" s="39"/>
      <c r="RD60" s="39"/>
      <c r="RE60" s="39"/>
      <c r="RF60" s="39"/>
      <c r="RG60" s="39"/>
      <c r="RH60" s="39"/>
      <c r="RI60" s="39"/>
      <c r="RJ60" s="39"/>
      <c r="RK60" s="39"/>
      <c r="RL60" s="39"/>
      <c r="RM60" s="39"/>
      <c r="RN60" s="39"/>
      <c r="RO60" s="39"/>
    </row>
    <row r="61" spans="1:483" s="4" customFormat="1" ht="15.75" thickBot="1" x14ac:dyDescent="0.3">
      <c r="A61" s="74" t="s">
        <v>797</v>
      </c>
      <c r="B61" s="190" t="s">
        <v>798</v>
      </c>
      <c r="C61" s="195"/>
      <c r="D61" s="72">
        <v>0</v>
      </c>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t="s">
        <v>835</v>
      </c>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c r="IP61" s="54"/>
      <c r="IQ61" s="54"/>
      <c r="IR61" s="54"/>
      <c r="IS61" s="54"/>
      <c r="IT61" s="54"/>
      <c r="IU61" s="54"/>
      <c r="IV61" s="54"/>
      <c r="IW61" s="54"/>
      <c r="IX61" s="54"/>
      <c r="IY61" s="54"/>
      <c r="IZ61" s="54"/>
      <c r="JA61" s="54"/>
      <c r="JB61" s="54"/>
      <c r="JC61" s="54"/>
      <c r="JD61" s="54"/>
      <c r="JE61" s="54"/>
      <c r="JF61" s="54"/>
      <c r="JG61" s="54"/>
      <c r="JH61" s="54"/>
      <c r="JI61" s="54"/>
      <c r="JJ61" s="54"/>
      <c r="JK61" s="54"/>
      <c r="JL61" s="54"/>
      <c r="JM61" s="54"/>
      <c r="JN61" s="54"/>
      <c r="JO61" s="54"/>
      <c r="JP61" s="54"/>
      <c r="JQ61" s="54"/>
      <c r="JR61" s="54"/>
      <c r="JS61" s="54"/>
      <c r="JT61" s="54"/>
      <c r="JU61" s="54"/>
      <c r="JV61" s="54"/>
      <c r="JW61" s="54"/>
      <c r="JX61" s="54"/>
      <c r="JY61" s="54"/>
      <c r="JZ61" s="54"/>
      <c r="KA61" s="54"/>
      <c r="KB61" s="54"/>
      <c r="KC61" s="54"/>
      <c r="KD61" s="54"/>
      <c r="KE61" s="54"/>
      <c r="KF61" s="54"/>
      <c r="KG61" s="54"/>
      <c r="KH61" s="54"/>
      <c r="KI61" s="54"/>
      <c r="KJ61" s="54"/>
      <c r="KK61" s="54"/>
      <c r="KL61" s="54"/>
      <c r="KM61" s="54"/>
      <c r="KN61" s="54"/>
      <c r="KO61" s="54"/>
      <c r="KP61" s="54"/>
      <c r="KQ61" s="54"/>
      <c r="KR61" s="54"/>
      <c r="KS61" s="54"/>
      <c r="KT61" s="54"/>
      <c r="KU61" s="54"/>
      <c r="KV61" s="54"/>
      <c r="KW61" s="54"/>
      <c r="KX61" s="54"/>
      <c r="KY61" s="54"/>
      <c r="KZ61" s="54"/>
      <c r="LA61" s="54"/>
      <c r="LB61" s="54"/>
      <c r="LC61" s="38"/>
      <c r="LD61" s="54"/>
      <c r="LE61" s="54"/>
      <c r="LF61" s="54"/>
      <c r="LG61" s="54"/>
      <c r="LH61" s="54"/>
      <c r="LI61" s="54"/>
      <c r="LJ61" s="54"/>
      <c r="LK61" s="54"/>
      <c r="LL61" s="54"/>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54"/>
      <c r="NK61" s="39"/>
      <c r="NL61" s="39"/>
      <c r="NM61" s="39"/>
      <c r="NN61" s="54"/>
      <c r="NO61" s="54"/>
      <c r="NP61" s="54"/>
      <c r="NQ61" s="54"/>
      <c r="NR61" s="54"/>
      <c r="NS61" s="39"/>
      <c r="NT61" s="39"/>
      <c r="NU61" s="39"/>
      <c r="NV61" s="39"/>
      <c r="NW61" s="39"/>
      <c r="NX61" s="39"/>
      <c r="NY61" s="39"/>
      <c r="NZ61" s="39"/>
      <c r="OA61" s="39"/>
      <c r="OB61" s="54"/>
      <c r="OC61" s="54"/>
      <c r="OD61" s="40"/>
      <c r="OE61" s="54"/>
      <c r="OF61" s="54"/>
      <c r="OG61" s="54"/>
      <c r="OH61" s="54"/>
      <c r="OI61" s="54"/>
      <c r="OJ61" s="54"/>
      <c r="OK61" s="54"/>
      <c r="OL61" s="54"/>
      <c r="OM61" s="54"/>
      <c r="ON61" s="54"/>
      <c r="OO61" s="54"/>
      <c r="OP61" s="54"/>
      <c r="OQ61" s="54"/>
      <c r="OR61" s="54"/>
      <c r="OS61" s="54"/>
      <c r="OT61" s="54"/>
      <c r="OU61" s="54"/>
      <c r="OV61" s="54"/>
      <c r="OW61" s="39"/>
      <c r="OX61" s="54"/>
      <c r="OY61" s="54"/>
      <c r="OZ61" s="54"/>
      <c r="PA61" s="54"/>
      <c r="PB61" s="54"/>
      <c r="PC61" s="54"/>
      <c r="PD61" s="54"/>
      <c r="PE61" s="54"/>
      <c r="PF61" s="54"/>
      <c r="PG61" s="54"/>
      <c r="PH61" s="54"/>
      <c r="PI61" s="54"/>
      <c r="PJ61" s="54"/>
      <c r="PK61" s="54"/>
      <c r="PL61" s="54"/>
      <c r="PM61" s="54"/>
      <c r="PN61" s="54"/>
      <c r="PO61" s="54"/>
      <c r="PP61" s="54"/>
      <c r="PQ61" s="54"/>
      <c r="PR61" s="54"/>
      <c r="PS61" s="54"/>
      <c r="PT61" s="54"/>
      <c r="PU61" s="54"/>
      <c r="PV61" s="54"/>
      <c r="PW61" s="54"/>
      <c r="PX61" s="39"/>
      <c r="PY61" s="39"/>
      <c r="PZ61" s="39"/>
      <c r="QA61" s="39"/>
      <c r="QB61" s="39"/>
      <c r="QC61" s="39"/>
      <c r="QD61" s="39"/>
      <c r="QE61" s="39"/>
      <c r="QF61" s="39"/>
      <c r="QG61" s="39"/>
      <c r="QH61" s="39"/>
      <c r="QI61" s="54"/>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row>
    <row r="62" spans="1:483" s="4" customFormat="1" ht="22.5" customHeight="1" thickBot="1" x14ac:dyDescent="0.3">
      <c r="A62" s="74" t="s">
        <v>799</v>
      </c>
      <c r="B62" s="196" t="s">
        <v>800</v>
      </c>
      <c r="C62" s="197"/>
      <c r="D62" s="72">
        <v>1686.3</v>
      </c>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t="s">
        <v>835</v>
      </c>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c r="IP62" s="54"/>
      <c r="IQ62" s="54"/>
      <c r="IR62" s="54"/>
      <c r="IS62" s="54"/>
      <c r="IT62" s="54"/>
      <c r="IU62" s="54"/>
      <c r="IV62" s="54"/>
      <c r="IW62" s="54"/>
      <c r="IX62" s="54"/>
      <c r="IY62" s="54"/>
      <c r="IZ62" s="54"/>
      <c r="JA62" s="54"/>
      <c r="JB62" s="54"/>
      <c r="JC62" s="54"/>
      <c r="JD62" s="54"/>
      <c r="JE62" s="54"/>
      <c r="JF62" s="54"/>
      <c r="JG62" s="54"/>
      <c r="JH62" s="54"/>
      <c r="JI62" s="54"/>
      <c r="JJ62" s="54"/>
      <c r="JK62" s="54"/>
      <c r="JL62" s="54"/>
      <c r="JM62" s="54"/>
      <c r="JN62" s="54"/>
      <c r="JO62" s="54"/>
      <c r="JP62" s="54"/>
      <c r="JQ62" s="54"/>
      <c r="JR62" s="54"/>
      <c r="JS62" s="54"/>
      <c r="JT62" s="54"/>
      <c r="JU62" s="54"/>
      <c r="JV62" s="54"/>
      <c r="JW62" s="54"/>
      <c r="JX62" s="54"/>
      <c r="JY62" s="54"/>
      <c r="JZ62" s="54"/>
      <c r="KA62" s="54"/>
      <c r="KB62" s="54"/>
      <c r="KC62" s="54"/>
      <c r="KD62" s="54"/>
      <c r="KE62" s="54"/>
      <c r="KF62" s="54"/>
      <c r="KG62" s="54"/>
      <c r="KH62" s="54"/>
      <c r="KI62" s="54"/>
      <c r="KJ62" s="54"/>
      <c r="KK62" s="54"/>
      <c r="KL62" s="54"/>
      <c r="KM62" s="54"/>
      <c r="KN62" s="54"/>
      <c r="KO62" s="54"/>
      <c r="KP62" s="54"/>
      <c r="KQ62" s="54"/>
      <c r="KR62" s="54"/>
      <c r="KS62" s="54"/>
      <c r="KT62" s="54"/>
      <c r="KU62" s="54"/>
      <c r="KV62" s="54"/>
      <c r="KW62" s="54"/>
      <c r="KX62" s="54"/>
      <c r="KY62" s="54"/>
      <c r="KZ62" s="54"/>
      <c r="LA62" s="54"/>
      <c r="LB62" s="54"/>
      <c r="LC62" s="38"/>
      <c r="LD62" s="54"/>
      <c r="LE62" s="54"/>
      <c r="LF62" s="54"/>
      <c r="LG62" s="54"/>
      <c r="LH62" s="54"/>
      <c r="LI62" s="54"/>
      <c r="LJ62" s="54"/>
      <c r="LK62" s="54"/>
      <c r="LL62" s="54"/>
      <c r="LM62" s="39"/>
      <c r="LN62" s="39"/>
      <c r="LO62" s="39"/>
      <c r="LP62" s="39"/>
      <c r="LQ62" s="39"/>
      <c r="LR62" s="39"/>
      <c r="LS62" s="39"/>
      <c r="LT62" s="39"/>
      <c r="LU62" s="39"/>
      <c r="LV62" s="39"/>
      <c r="LW62" s="39"/>
      <c r="LX62" s="39"/>
      <c r="LY62" s="39"/>
      <c r="LZ62" s="39"/>
      <c r="MA62" s="39"/>
      <c r="MB62" s="39"/>
      <c r="MC62" s="39"/>
      <c r="MD62" s="39"/>
      <c r="ME62" s="39"/>
      <c r="MF62" s="39"/>
      <c r="MG62" s="39"/>
      <c r="MH62" s="39"/>
      <c r="MI62" s="39"/>
      <c r="MJ62" s="39"/>
      <c r="MK62" s="39"/>
      <c r="ML62" s="39"/>
      <c r="MM62" s="39"/>
      <c r="MN62" s="39"/>
      <c r="MO62" s="39"/>
      <c r="MP62" s="39"/>
      <c r="MQ62" s="39"/>
      <c r="MR62" s="39"/>
      <c r="MS62" s="39"/>
      <c r="MT62" s="39"/>
      <c r="MU62" s="39"/>
      <c r="MV62" s="39"/>
      <c r="MW62" s="39"/>
      <c r="MX62" s="39"/>
      <c r="MY62" s="39"/>
      <c r="MZ62" s="39"/>
      <c r="NA62" s="39"/>
      <c r="NB62" s="39"/>
      <c r="NC62" s="39"/>
      <c r="ND62" s="39"/>
      <c r="NE62" s="39"/>
      <c r="NF62" s="39"/>
      <c r="NG62" s="39"/>
      <c r="NH62" s="39"/>
      <c r="NI62" s="39"/>
      <c r="NJ62" s="54"/>
      <c r="NK62" s="39"/>
      <c r="NL62" s="39"/>
      <c r="NM62" s="39"/>
      <c r="NN62" s="54"/>
      <c r="NO62" s="54"/>
      <c r="NP62" s="54"/>
      <c r="NQ62" s="54"/>
      <c r="NR62" s="54"/>
      <c r="NS62" s="39"/>
      <c r="NT62" s="39"/>
      <c r="NU62" s="39"/>
      <c r="NV62" s="39"/>
      <c r="NW62" s="39"/>
      <c r="NX62" s="39"/>
      <c r="NY62" s="39"/>
      <c r="NZ62" s="39"/>
      <c r="OA62" s="39"/>
      <c r="OB62" s="54"/>
      <c r="OC62" s="54"/>
      <c r="OD62" s="40"/>
      <c r="OE62" s="54"/>
      <c r="OF62" s="54"/>
      <c r="OG62" s="54"/>
      <c r="OH62" s="54"/>
      <c r="OI62" s="54"/>
      <c r="OJ62" s="54"/>
      <c r="OK62" s="54"/>
      <c r="OL62" s="54"/>
      <c r="OM62" s="54"/>
      <c r="ON62" s="54"/>
      <c r="OO62" s="54"/>
      <c r="OP62" s="54"/>
      <c r="OQ62" s="54"/>
      <c r="OR62" s="54"/>
      <c r="OS62" s="54"/>
      <c r="OT62" s="54"/>
      <c r="OU62" s="54"/>
      <c r="OV62" s="54"/>
      <c r="OW62" s="39"/>
      <c r="OX62" s="54"/>
      <c r="OY62" s="54"/>
      <c r="OZ62" s="54"/>
      <c r="PA62" s="54"/>
      <c r="PB62" s="54"/>
      <c r="PC62" s="54"/>
      <c r="PD62" s="54"/>
      <c r="PE62" s="54"/>
      <c r="PF62" s="54"/>
      <c r="PG62" s="54"/>
      <c r="PH62" s="54"/>
      <c r="PI62" s="54"/>
      <c r="PJ62" s="54"/>
      <c r="PK62" s="54"/>
      <c r="PL62" s="54"/>
      <c r="PM62" s="54"/>
      <c r="PN62" s="54"/>
      <c r="PO62" s="54"/>
      <c r="PP62" s="54"/>
      <c r="PQ62" s="54"/>
      <c r="PR62" s="54"/>
      <c r="PS62" s="54"/>
      <c r="PT62" s="54"/>
      <c r="PU62" s="54"/>
      <c r="PV62" s="54"/>
      <c r="PW62" s="54"/>
      <c r="PX62" s="39"/>
      <c r="PY62" s="39"/>
      <c r="PZ62" s="39"/>
      <c r="QA62" s="39"/>
      <c r="QB62" s="39"/>
      <c r="QC62" s="39"/>
      <c r="QD62" s="39"/>
      <c r="QE62" s="39"/>
      <c r="QF62" s="39"/>
      <c r="QG62" s="39"/>
      <c r="QH62" s="39"/>
      <c r="QI62" s="54"/>
      <c r="QJ62" s="39"/>
      <c r="QK62" s="39"/>
      <c r="QL62" s="39"/>
      <c r="QM62" s="39"/>
      <c r="QN62" s="39"/>
      <c r="QO62" s="39"/>
      <c r="QP62" s="39"/>
      <c r="QQ62" s="39"/>
      <c r="QR62" s="39"/>
      <c r="QS62" s="39"/>
      <c r="QT62" s="39"/>
      <c r="QU62" s="39"/>
      <c r="QV62" s="39"/>
      <c r="QW62" s="39"/>
      <c r="QX62" s="39"/>
      <c r="QY62" s="39"/>
      <c r="QZ62" s="39"/>
      <c r="RA62" s="39"/>
      <c r="RB62" s="39"/>
      <c r="RC62" s="39"/>
      <c r="RD62" s="39"/>
      <c r="RE62" s="39"/>
      <c r="RF62" s="39"/>
      <c r="RG62" s="39"/>
      <c r="RH62" s="39"/>
      <c r="RI62" s="39"/>
      <c r="RJ62" s="39"/>
      <c r="RK62" s="39"/>
      <c r="RL62" s="39"/>
      <c r="RM62" s="39"/>
      <c r="RN62" s="39"/>
      <c r="RO62" s="39"/>
    </row>
    <row r="63" spans="1:483" s="4" customFormat="1" ht="15.75" thickBot="1" x14ac:dyDescent="0.3">
      <c r="A63" s="204" t="s">
        <v>880</v>
      </c>
      <c r="B63" s="204"/>
      <c r="C63" s="195"/>
      <c r="D63" s="72">
        <v>0</v>
      </c>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t="s">
        <v>835</v>
      </c>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18"/>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19"/>
      <c r="OE63" s="5"/>
      <c r="OF63" s="5"/>
      <c r="OG63" s="5"/>
      <c r="OH63" s="5"/>
      <c r="OI63" s="5"/>
      <c r="OJ63" s="5"/>
      <c r="OK63" s="5"/>
      <c r="OL63" s="5"/>
      <c r="OM63" s="5"/>
      <c r="ON63" s="5"/>
      <c r="OO63" s="5"/>
      <c r="OP63" s="39"/>
      <c r="OQ63" s="5"/>
      <c r="OR63" s="5"/>
      <c r="OS63" s="39"/>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row>
    <row r="64" spans="1:483" s="4" customFormat="1" ht="15.75" thickBot="1" x14ac:dyDescent="0.3">
      <c r="A64" s="74" t="s">
        <v>801</v>
      </c>
      <c r="B64" s="190" t="s">
        <v>802</v>
      </c>
      <c r="C64" s="195"/>
      <c r="D64" s="72">
        <v>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t="s">
        <v>835</v>
      </c>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18"/>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19"/>
      <c r="OE64" s="5"/>
      <c r="OF64" s="5"/>
      <c r="OG64" s="5"/>
      <c r="OH64" s="5"/>
      <c r="OI64" s="5"/>
      <c r="OJ64" s="5"/>
      <c r="OK64" s="5"/>
      <c r="OL64" s="5"/>
      <c r="OM64" s="5"/>
      <c r="ON64" s="5"/>
      <c r="OO64" s="5"/>
      <c r="OP64" s="39"/>
      <c r="OQ64" s="5"/>
      <c r="OR64" s="5"/>
      <c r="OS64" s="39"/>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row>
    <row r="65" spans="1:483" s="4" customFormat="1" ht="15.75" thickBot="1" x14ac:dyDescent="0.3">
      <c r="A65" s="74" t="s">
        <v>803</v>
      </c>
      <c r="B65" s="190" t="s">
        <v>804</v>
      </c>
      <c r="C65" s="195"/>
      <c r="D65" s="72">
        <v>0</v>
      </c>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t="s">
        <v>835</v>
      </c>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18"/>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19"/>
      <c r="OE65" s="5"/>
      <c r="OF65" s="5"/>
      <c r="OG65" s="5"/>
      <c r="OH65" s="5"/>
      <c r="OI65" s="5"/>
      <c r="OJ65" s="5"/>
      <c r="OK65" s="5"/>
      <c r="OL65" s="5"/>
      <c r="OM65" s="5"/>
      <c r="ON65" s="5"/>
      <c r="OO65" s="5"/>
      <c r="OP65" s="39"/>
      <c r="OQ65" s="5"/>
      <c r="OR65" s="5"/>
      <c r="OS65" s="39"/>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row>
    <row r="66" spans="1:483" s="4" customFormat="1" ht="15.75" thickBot="1" x14ac:dyDescent="0.3">
      <c r="A66" s="204" t="s">
        <v>805</v>
      </c>
      <c r="B66" s="204"/>
      <c r="C66" s="72"/>
      <c r="D66" s="72">
        <v>0</v>
      </c>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t="s">
        <v>835</v>
      </c>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18"/>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19"/>
      <c r="OE66" s="5"/>
      <c r="OF66" s="5"/>
      <c r="OG66" s="5"/>
      <c r="OH66" s="5"/>
      <c r="OI66" s="5"/>
      <c r="OJ66" s="5"/>
      <c r="OK66" s="5"/>
      <c r="OL66" s="5"/>
      <c r="OM66" s="5"/>
      <c r="ON66" s="5"/>
      <c r="OO66" s="5"/>
      <c r="OP66" s="39"/>
      <c r="OQ66" s="5"/>
      <c r="OR66" s="5"/>
      <c r="OS66" s="39"/>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row>
    <row r="67" spans="1:483" s="4" customFormat="1" ht="15.75" thickBot="1" x14ac:dyDescent="0.3">
      <c r="A67" s="74" t="s">
        <v>806</v>
      </c>
      <c r="B67" s="190" t="s">
        <v>807</v>
      </c>
      <c r="C67" s="195"/>
      <c r="D67" s="72">
        <v>0</v>
      </c>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t="s">
        <v>835</v>
      </c>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18"/>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19"/>
      <c r="OE67" s="5"/>
      <c r="OF67" s="5"/>
      <c r="OG67" s="5"/>
      <c r="OH67" s="5"/>
      <c r="OI67" s="5"/>
      <c r="OJ67" s="5"/>
      <c r="OK67" s="5"/>
      <c r="OL67" s="5"/>
      <c r="OM67" s="5"/>
      <c r="ON67" s="5"/>
      <c r="OO67" s="5"/>
      <c r="OP67" s="39"/>
      <c r="OQ67" s="5"/>
      <c r="OR67" s="5"/>
      <c r="OS67" s="39"/>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row>
    <row r="68" spans="1:483" s="4" customFormat="1" ht="15.75" thickBot="1" x14ac:dyDescent="0.3">
      <c r="A68" s="77">
        <v>2.5</v>
      </c>
      <c r="B68" s="204" t="s">
        <v>808</v>
      </c>
      <c r="C68" s="195"/>
      <c r="D68" s="72"/>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t="s">
        <v>835</v>
      </c>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18"/>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19"/>
      <c r="OE68" s="5"/>
      <c r="OF68" s="5"/>
      <c r="OG68" s="5"/>
      <c r="OH68" s="5"/>
      <c r="OI68" s="5"/>
      <c r="OJ68" s="5"/>
      <c r="OK68" s="5"/>
      <c r="OL68" s="5"/>
      <c r="OM68" s="5"/>
      <c r="ON68" s="5"/>
      <c r="OO68" s="5"/>
      <c r="OP68" s="39"/>
      <c r="OQ68" s="5"/>
      <c r="OR68" s="5"/>
      <c r="OS68" s="39"/>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row>
    <row r="69" spans="1:483" s="4" customFormat="1" ht="15.75" thickBot="1" x14ac:dyDescent="0.3">
      <c r="A69" s="74" t="s">
        <v>809</v>
      </c>
      <c r="B69" s="77" t="s">
        <v>786</v>
      </c>
      <c r="C69" s="90"/>
      <c r="D69" s="72"/>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t="s">
        <v>835</v>
      </c>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18"/>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19"/>
      <c r="OE69" s="5"/>
      <c r="OF69" s="5"/>
      <c r="OG69" s="5"/>
      <c r="OH69" s="5"/>
      <c r="OI69" s="5"/>
      <c r="OJ69" s="5"/>
      <c r="OK69" s="5"/>
      <c r="OL69" s="5"/>
      <c r="OM69" s="5"/>
      <c r="ON69" s="5"/>
      <c r="OO69" s="5"/>
      <c r="OP69" s="39"/>
      <c r="OQ69" s="5"/>
      <c r="OR69" s="5"/>
      <c r="OS69" s="39"/>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row>
    <row r="70" spans="1:483" s="4" customFormat="1" ht="15.75" thickBot="1" x14ac:dyDescent="0.3">
      <c r="A70" s="198" t="s">
        <v>810</v>
      </c>
      <c r="B70" s="203"/>
      <c r="C70" s="199"/>
      <c r="D70" s="72">
        <v>6095150</v>
      </c>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t="s">
        <v>835</v>
      </c>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5"/>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14"/>
      <c r="NH70" s="14"/>
      <c r="NI70" s="14"/>
      <c r="NJ70" s="14"/>
      <c r="NK70" s="14"/>
      <c r="NL70" s="14"/>
      <c r="NM70" s="14"/>
      <c r="NN70" s="14"/>
      <c r="NO70" s="14"/>
      <c r="NP70" s="14"/>
      <c r="NQ70" s="14"/>
      <c r="NR70" s="14"/>
      <c r="NS70" s="14"/>
      <c r="NT70" s="14"/>
      <c r="NU70" s="14"/>
      <c r="NV70" s="14"/>
      <c r="NW70" s="14"/>
      <c r="NX70" s="14"/>
      <c r="NY70" s="14"/>
      <c r="NZ70" s="14"/>
      <c r="OA70" s="14"/>
      <c r="OB70" s="14"/>
      <c r="OC70" s="14"/>
      <c r="OD70" s="20"/>
      <c r="OE70" s="14"/>
      <c r="OF70" s="14"/>
      <c r="OG70" s="14"/>
      <c r="OH70" s="14"/>
      <c r="OI70" s="14"/>
      <c r="OJ70" s="14"/>
      <c r="OK70" s="14"/>
      <c r="OL70" s="14"/>
      <c r="OM70" s="14"/>
      <c r="ON70" s="14"/>
      <c r="OO70" s="14"/>
      <c r="OP70" s="14"/>
      <c r="OQ70" s="14"/>
      <c r="OR70" s="14"/>
      <c r="OS70" s="14"/>
      <c r="OT70" s="14"/>
      <c r="OU70" s="14"/>
      <c r="OV70" s="14"/>
      <c r="OW70" s="14"/>
      <c r="OX70" s="14"/>
      <c r="OY70" s="14"/>
      <c r="OZ70" s="14"/>
      <c r="PA70" s="14"/>
      <c r="PB70" s="14"/>
      <c r="PC70" s="14"/>
      <c r="PD70" s="14"/>
      <c r="PE70" s="14"/>
      <c r="PF70" s="14"/>
      <c r="PG70" s="14"/>
      <c r="PH70" s="14"/>
      <c r="PI70" s="14"/>
      <c r="PJ70" s="14"/>
      <c r="PK70" s="14"/>
      <c r="PL70" s="14"/>
      <c r="PM70" s="14"/>
      <c r="PN70" s="14"/>
      <c r="PO70" s="14"/>
      <c r="PP70" s="14"/>
      <c r="PQ70" s="14"/>
      <c r="PR70" s="14"/>
      <c r="PS70" s="14"/>
      <c r="PT70" s="14"/>
      <c r="PU70" s="14"/>
      <c r="PV70" s="14"/>
      <c r="PW70" s="14"/>
      <c r="PX70" s="14"/>
      <c r="PY70" s="14"/>
      <c r="PZ70" s="14"/>
      <c r="QA70" s="14"/>
      <c r="QB70" s="14"/>
      <c r="QC70" s="14"/>
      <c r="QD70" s="14"/>
      <c r="QE70" s="14"/>
      <c r="QF70" s="14"/>
      <c r="QG70" s="14"/>
      <c r="QH70" s="14"/>
      <c r="QI70" s="14"/>
      <c r="QJ70" s="14"/>
      <c r="QK70" s="14"/>
      <c r="QL70" s="14"/>
      <c r="QM70" s="14"/>
      <c r="QN70" s="14"/>
      <c r="QO70" s="14"/>
      <c r="QP70" s="14"/>
      <c r="QQ70" s="14"/>
      <c r="QR70" s="14"/>
      <c r="QS70" s="14"/>
      <c r="QT70" s="14"/>
      <c r="QU70" s="14"/>
      <c r="QV70" s="14"/>
      <c r="QW70" s="14"/>
      <c r="QX70" s="14"/>
      <c r="QY70" s="14"/>
      <c r="QZ70" s="14"/>
      <c r="RA70" s="14"/>
      <c r="RB70" s="14"/>
      <c r="RC70" s="14"/>
      <c r="RD70" s="14"/>
      <c r="RE70" s="14"/>
      <c r="RF70" s="14"/>
      <c r="RG70" s="14"/>
      <c r="RH70" s="14"/>
      <c r="RI70" s="14"/>
      <c r="RJ70" s="14"/>
      <c r="RK70" s="14"/>
      <c r="RL70" s="14"/>
      <c r="RM70" s="14"/>
      <c r="RN70" s="14"/>
      <c r="RO70" s="14"/>
    </row>
    <row r="71" spans="1:483" s="4" customFormat="1" ht="15.75" thickBot="1" x14ac:dyDescent="0.3">
      <c r="A71" s="75" t="s">
        <v>881</v>
      </c>
      <c r="B71" s="73"/>
      <c r="C71" s="73"/>
      <c r="D71" s="72">
        <v>760386.8</v>
      </c>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t="s">
        <v>902</v>
      </c>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5"/>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14"/>
      <c r="NH71" s="14"/>
      <c r="NI71" s="14"/>
      <c r="NJ71" s="14"/>
      <c r="NK71" s="14"/>
      <c r="NL71" s="14"/>
      <c r="NM71" s="14"/>
      <c r="NN71" s="14"/>
      <c r="NO71" s="14"/>
      <c r="NP71" s="14"/>
      <c r="NQ71" s="14"/>
      <c r="NR71" s="14"/>
      <c r="NS71" s="14"/>
      <c r="NT71" s="14"/>
      <c r="NU71" s="14"/>
      <c r="NV71" s="14"/>
      <c r="NW71" s="14"/>
      <c r="NX71" s="14"/>
      <c r="NY71" s="14"/>
      <c r="NZ71" s="14"/>
      <c r="OA71" s="14"/>
      <c r="OB71" s="14"/>
      <c r="OC71" s="14"/>
      <c r="OD71" s="21"/>
      <c r="OE71" s="14"/>
      <c r="OF71" s="14"/>
      <c r="OG71" s="14"/>
      <c r="OH71" s="14"/>
      <c r="OI71" s="14"/>
      <c r="OJ71" s="14"/>
      <c r="OK71" s="14"/>
      <c r="OL71" s="14"/>
      <c r="OM71" s="14"/>
      <c r="ON71" s="14"/>
      <c r="OO71" s="14"/>
      <c r="OP71" s="14"/>
      <c r="OQ71" s="14"/>
      <c r="OR71" s="14"/>
      <c r="OS71" s="14"/>
      <c r="OT71" s="14"/>
      <c r="OU71" s="14"/>
      <c r="OV71" s="14"/>
      <c r="OW71" s="14"/>
      <c r="OX71" s="14"/>
      <c r="OY71" s="14"/>
      <c r="OZ71" s="14"/>
      <c r="PA71" s="14"/>
      <c r="PB71" s="14"/>
      <c r="PC71" s="14"/>
      <c r="PD71" s="14"/>
      <c r="PE71" s="14"/>
      <c r="PF71" s="14"/>
      <c r="PG71" s="14"/>
      <c r="PH71" s="14"/>
      <c r="PI71" s="14"/>
      <c r="PJ71" s="14"/>
      <c r="PK71" s="14"/>
      <c r="PL71" s="14"/>
      <c r="PM71" s="14"/>
      <c r="PN71" s="14"/>
      <c r="PO71" s="14"/>
      <c r="PP71" s="14"/>
      <c r="PQ71" s="14"/>
      <c r="PR71" s="14"/>
      <c r="PS71" s="14"/>
      <c r="PT71" s="14"/>
      <c r="PU71" s="14"/>
      <c r="PV71" s="14"/>
      <c r="PW71" s="14"/>
      <c r="PX71" s="14"/>
      <c r="PY71" s="14"/>
      <c r="PZ71" s="14"/>
      <c r="QA71" s="14"/>
      <c r="QB71" s="14"/>
      <c r="QC71" s="14"/>
      <c r="QD71" s="14"/>
      <c r="QE71" s="14"/>
      <c r="QF71" s="14"/>
      <c r="QG71" s="14"/>
      <c r="QH71" s="14"/>
      <c r="QI71" s="14"/>
      <c r="QJ71" s="14"/>
      <c r="QK71" s="14"/>
      <c r="QL71" s="14"/>
      <c r="QM71" s="14"/>
      <c r="QN71" s="14"/>
      <c r="QO71" s="14"/>
      <c r="QP71" s="14"/>
      <c r="QQ71" s="14"/>
      <c r="QR71" s="14"/>
      <c r="QS71" s="14"/>
      <c r="QT71" s="14"/>
      <c r="QU71" s="14"/>
      <c r="QV71" s="14"/>
      <c r="QW71" s="14"/>
      <c r="QX71" s="14"/>
      <c r="QY71" s="14"/>
      <c r="QZ71" s="14"/>
      <c r="RA71" s="14"/>
      <c r="RB71" s="14"/>
      <c r="RC71" s="14"/>
      <c r="RD71" s="14"/>
      <c r="RE71" s="14"/>
      <c r="RF71" s="14"/>
      <c r="RG71" s="14"/>
      <c r="RH71" s="14"/>
      <c r="RI71" s="14"/>
      <c r="RJ71" s="14"/>
      <c r="RK71" s="14"/>
      <c r="RL71" s="14"/>
      <c r="RM71" s="14"/>
      <c r="RN71" s="14"/>
      <c r="RO71" s="14"/>
    </row>
    <row r="72" spans="1:483" s="4" customFormat="1" ht="15.75" thickBot="1" x14ac:dyDescent="0.3">
      <c r="A72" s="89">
        <v>3.1</v>
      </c>
      <c r="B72" s="190" t="s">
        <v>882</v>
      </c>
      <c r="C72" s="191"/>
      <c r="D72" s="72">
        <v>760386.8</v>
      </c>
      <c r="E72" s="62"/>
      <c r="F72" s="62"/>
      <c r="G72" s="62"/>
      <c r="H72" s="62"/>
      <c r="I72" s="62"/>
      <c r="J72" s="62"/>
      <c r="K72" s="62"/>
      <c r="L72" s="62"/>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t="s">
        <v>902</v>
      </c>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18"/>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18"/>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row>
    <row r="73" spans="1:483" s="4" customFormat="1" ht="15.75" thickBot="1" x14ac:dyDescent="0.3">
      <c r="A73" s="198" t="s">
        <v>883</v>
      </c>
      <c r="B73" s="203"/>
      <c r="C73" s="199"/>
      <c r="D73" s="72">
        <v>5334763.2</v>
      </c>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t="s">
        <v>902</v>
      </c>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5"/>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4"/>
      <c r="NH73" s="14"/>
      <c r="NI73" s="14"/>
      <c r="NJ73" s="14"/>
      <c r="NK73" s="14"/>
      <c r="NL73" s="14"/>
      <c r="NM73" s="14"/>
      <c r="NN73" s="14"/>
      <c r="NO73" s="14"/>
      <c r="NP73" s="14"/>
      <c r="NQ73" s="14"/>
      <c r="NR73" s="14"/>
      <c r="NS73" s="14"/>
      <c r="NT73" s="14"/>
      <c r="NU73" s="14"/>
      <c r="NV73" s="14"/>
      <c r="NW73" s="14"/>
      <c r="NX73" s="14"/>
      <c r="NY73" s="14"/>
      <c r="NZ73" s="14"/>
      <c r="OA73" s="14"/>
      <c r="OB73" s="14"/>
      <c r="OC73" s="14"/>
      <c r="OD73" s="21"/>
      <c r="OE73" s="14"/>
      <c r="OF73" s="14"/>
      <c r="OG73" s="14"/>
      <c r="OH73" s="14"/>
      <c r="OI73" s="14"/>
      <c r="OJ73" s="14"/>
      <c r="OK73" s="14"/>
      <c r="OL73" s="14"/>
      <c r="OM73" s="14"/>
      <c r="ON73" s="14"/>
      <c r="OO73" s="14"/>
      <c r="OP73" s="14"/>
      <c r="OQ73" s="14"/>
      <c r="OR73" s="14"/>
      <c r="OS73" s="14"/>
      <c r="OT73" s="14"/>
      <c r="OU73" s="14"/>
      <c r="OV73" s="14"/>
      <c r="OW73" s="14"/>
      <c r="OX73" s="14"/>
      <c r="OY73" s="14"/>
      <c r="OZ73" s="14"/>
      <c r="PA73" s="14"/>
      <c r="PB73" s="14"/>
      <c r="PC73" s="14"/>
      <c r="PD73" s="14"/>
      <c r="PE73" s="14"/>
      <c r="PF73" s="14"/>
      <c r="PG73" s="14"/>
      <c r="PH73" s="14"/>
      <c r="PI73" s="14"/>
      <c r="PJ73" s="14"/>
      <c r="PK73" s="14"/>
      <c r="PL73" s="14"/>
      <c r="PM73" s="14"/>
      <c r="PN73" s="14"/>
      <c r="PO73" s="14"/>
      <c r="PP73" s="14"/>
      <c r="PQ73" s="14"/>
      <c r="PR73" s="14"/>
      <c r="PS73" s="14"/>
      <c r="PT73" s="14"/>
      <c r="PU73" s="14"/>
      <c r="PV73" s="14"/>
      <c r="PW73" s="14"/>
      <c r="PX73" s="14"/>
      <c r="PY73" s="14"/>
      <c r="PZ73" s="14"/>
      <c r="QA73" s="14"/>
      <c r="QB73" s="14"/>
      <c r="QC73" s="14"/>
      <c r="QD73" s="14"/>
      <c r="QE73" s="14"/>
      <c r="QF73" s="14"/>
      <c r="QG73" s="14"/>
      <c r="QH73" s="14"/>
      <c r="QI73" s="14"/>
      <c r="QJ73" s="14"/>
      <c r="QK73" s="14"/>
      <c r="QL73" s="14"/>
      <c r="QM73" s="14"/>
      <c r="QN73" s="14"/>
      <c r="QO73" s="14"/>
      <c r="QP73" s="14"/>
      <c r="QQ73" s="14"/>
      <c r="QR73" s="14"/>
      <c r="QS73" s="14"/>
      <c r="QT73" s="14"/>
      <c r="QU73" s="14"/>
      <c r="QV73" s="14"/>
      <c r="QW73" s="14"/>
      <c r="QX73" s="14"/>
      <c r="QY73" s="14"/>
      <c r="QZ73" s="14"/>
      <c r="RA73" s="14"/>
      <c r="RB73" s="14"/>
      <c r="RC73" s="14"/>
      <c r="RD73" s="14"/>
      <c r="RE73" s="14"/>
      <c r="RF73" s="14"/>
      <c r="RG73" s="14"/>
      <c r="RH73" s="14"/>
      <c r="RI73" s="14"/>
      <c r="RJ73" s="14"/>
      <c r="RK73" s="14"/>
      <c r="RL73" s="14"/>
      <c r="RM73" s="14"/>
      <c r="RN73" s="14"/>
      <c r="RO73" s="14"/>
    </row>
    <row r="74" spans="1:483" s="4" customFormat="1" ht="15.75" thickBot="1" x14ac:dyDescent="0.3">
      <c r="A74" s="74" t="s">
        <v>811</v>
      </c>
      <c r="B74" s="207" t="s">
        <v>884</v>
      </c>
      <c r="C74" s="72" t="s">
        <v>885</v>
      </c>
      <c r="D74" s="72">
        <v>8700</v>
      </c>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t="s">
        <v>835</v>
      </c>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18"/>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19"/>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row>
    <row r="75" spans="1:483" s="4" customFormat="1" ht="15.75" thickBot="1" x14ac:dyDescent="0.3">
      <c r="A75" s="74" t="s">
        <v>812</v>
      </c>
      <c r="B75" s="208"/>
      <c r="C75" s="72" t="s">
        <v>886</v>
      </c>
      <c r="D75" s="72">
        <v>41440</v>
      </c>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t="s">
        <v>835</v>
      </c>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18"/>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19"/>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row>
    <row r="76" spans="1:483" s="4" customFormat="1" ht="15.75" thickBot="1" x14ac:dyDescent="0.3">
      <c r="A76" s="74" t="s">
        <v>813</v>
      </c>
      <c r="B76" s="207" t="s">
        <v>887</v>
      </c>
      <c r="C76" s="72" t="s">
        <v>885</v>
      </c>
      <c r="D76" s="72">
        <v>394667.7</v>
      </c>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t="s">
        <v>835</v>
      </c>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c r="ID76" s="54"/>
      <c r="IE76" s="54"/>
      <c r="IF76" s="54"/>
      <c r="IG76" s="54"/>
      <c r="IH76" s="54"/>
      <c r="II76" s="54"/>
      <c r="IJ76" s="54"/>
      <c r="IK76" s="54"/>
      <c r="IL76" s="54"/>
      <c r="IM76" s="54"/>
      <c r="IN76" s="54"/>
      <c r="IO76" s="54"/>
      <c r="IP76" s="54"/>
      <c r="IQ76" s="54"/>
      <c r="IR76" s="54"/>
      <c r="IS76" s="54"/>
      <c r="IT76" s="54"/>
      <c r="IU76" s="54"/>
      <c r="IV76" s="54"/>
      <c r="IW76" s="54"/>
      <c r="IX76" s="54"/>
      <c r="IY76" s="54"/>
      <c r="IZ76" s="54"/>
      <c r="JA76" s="54"/>
      <c r="JB76" s="54"/>
      <c r="JC76" s="54"/>
      <c r="JD76" s="54"/>
      <c r="JE76" s="54"/>
      <c r="JF76" s="54"/>
      <c r="JG76" s="54"/>
      <c r="JH76" s="54"/>
      <c r="JI76" s="54"/>
      <c r="JJ76" s="54"/>
      <c r="JK76" s="54"/>
      <c r="JL76" s="54"/>
      <c r="JM76" s="54"/>
      <c r="JN76" s="54"/>
      <c r="JO76" s="54"/>
      <c r="JP76" s="54"/>
      <c r="JQ76" s="54"/>
      <c r="JR76" s="54"/>
      <c r="JS76" s="54"/>
      <c r="JT76" s="54"/>
      <c r="JU76" s="54"/>
      <c r="JV76" s="54"/>
      <c r="JW76" s="54"/>
      <c r="JX76" s="54"/>
      <c r="JY76" s="54"/>
      <c r="JZ76" s="54"/>
      <c r="KA76" s="54"/>
      <c r="KB76" s="54"/>
      <c r="KC76" s="54"/>
      <c r="KD76" s="54"/>
      <c r="KE76" s="54"/>
      <c r="KF76" s="54"/>
      <c r="KG76" s="54"/>
      <c r="KH76" s="54"/>
      <c r="KI76" s="54"/>
      <c r="KJ76" s="54"/>
      <c r="KK76" s="54"/>
      <c r="KL76" s="54"/>
      <c r="KM76" s="54"/>
      <c r="KN76" s="54"/>
      <c r="KO76" s="54"/>
      <c r="KP76" s="54"/>
      <c r="KQ76" s="54"/>
      <c r="KR76" s="54"/>
      <c r="KS76" s="54"/>
      <c r="KT76" s="54"/>
      <c r="KU76" s="54"/>
      <c r="KV76" s="54"/>
      <c r="KW76" s="54"/>
      <c r="KX76" s="54"/>
      <c r="KY76" s="54"/>
      <c r="KZ76" s="54"/>
      <c r="LA76" s="54"/>
      <c r="LB76" s="54"/>
      <c r="LC76" s="38"/>
      <c r="LD76" s="54"/>
      <c r="LE76" s="54"/>
      <c r="LF76" s="54"/>
      <c r="LG76" s="54"/>
      <c r="LH76" s="54"/>
      <c r="LI76" s="54"/>
      <c r="LJ76" s="54"/>
      <c r="LK76" s="54"/>
      <c r="LL76" s="54"/>
      <c r="LM76" s="39"/>
      <c r="LN76" s="39"/>
      <c r="LO76" s="39"/>
      <c r="LP76" s="39"/>
      <c r="LQ76" s="39"/>
      <c r="LR76" s="39"/>
      <c r="LS76" s="39"/>
      <c r="LT76" s="39"/>
      <c r="LU76" s="39"/>
      <c r="LV76" s="39"/>
      <c r="LW76" s="39"/>
      <c r="LX76" s="39"/>
      <c r="LY76" s="39"/>
      <c r="LZ76" s="39"/>
      <c r="MA76" s="39"/>
      <c r="MB76" s="39"/>
      <c r="MC76" s="39"/>
      <c r="MD76" s="39"/>
      <c r="ME76" s="39"/>
      <c r="MF76" s="39"/>
      <c r="MG76" s="39"/>
      <c r="MH76" s="39"/>
      <c r="MI76" s="39"/>
      <c r="MJ76" s="39"/>
      <c r="MK76" s="39"/>
      <c r="ML76" s="39"/>
      <c r="MM76" s="39"/>
      <c r="MN76" s="39"/>
      <c r="MO76" s="39"/>
      <c r="MP76" s="39"/>
      <c r="MQ76" s="39"/>
      <c r="MR76" s="39"/>
      <c r="MS76" s="39"/>
      <c r="MT76" s="39"/>
      <c r="MU76" s="39"/>
      <c r="MV76" s="39"/>
      <c r="MW76" s="39"/>
      <c r="MX76" s="39"/>
      <c r="MY76" s="39"/>
      <c r="MZ76" s="39"/>
      <c r="NA76" s="39"/>
      <c r="NB76" s="39"/>
      <c r="NC76" s="39"/>
      <c r="ND76" s="39"/>
      <c r="NE76" s="39"/>
      <c r="NF76" s="39"/>
      <c r="NG76" s="39"/>
      <c r="NH76" s="39"/>
      <c r="NI76" s="39"/>
      <c r="NJ76" s="54"/>
      <c r="NK76" s="39"/>
      <c r="NL76" s="39"/>
      <c r="NM76" s="39"/>
      <c r="NN76" s="54"/>
      <c r="NO76" s="54"/>
      <c r="NP76" s="54"/>
      <c r="NQ76" s="54"/>
      <c r="NR76" s="54"/>
      <c r="NS76" s="39"/>
      <c r="NT76" s="39"/>
      <c r="NU76" s="39"/>
      <c r="NV76" s="39"/>
      <c r="NW76" s="39"/>
      <c r="NX76" s="39"/>
      <c r="NY76" s="39"/>
      <c r="NZ76" s="39"/>
      <c r="OA76" s="39"/>
      <c r="OB76" s="54"/>
      <c r="OC76" s="54"/>
      <c r="OD76" s="40"/>
      <c r="OE76" s="54"/>
      <c r="OF76" s="54"/>
      <c r="OG76" s="54"/>
      <c r="OH76" s="54"/>
      <c r="OI76" s="54"/>
      <c r="OJ76" s="54"/>
      <c r="OK76" s="54"/>
      <c r="OL76" s="54"/>
      <c r="OM76" s="54"/>
      <c r="ON76" s="54"/>
      <c r="OO76" s="54"/>
      <c r="OP76" s="54"/>
      <c r="OQ76" s="54"/>
      <c r="OR76" s="54"/>
      <c r="OS76" s="54"/>
      <c r="OT76" s="54"/>
      <c r="OU76" s="54"/>
      <c r="OV76" s="54"/>
      <c r="OW76" s="39"/>
      <c r="OX76" s="54"/>
      <c r="OY76" s="54"/>
      <c r="OZ76" s="54"/>
      <c r="PA76" s="54"/>
      <c r="PB76" s="54"/>
      <c r="PC76" s="54"/>
      <c r="PD76" s="54"/>
      <c r="PE76" s="54"/>
      <c r="PF76" s="54"/>
      <c r="PG76" s="54"/>
      <c r="PH76" s="54"/>
      <c r="PI76" s="54"/>
      <c r="PJ76" s="54"/>
      <c r="PK76" s="54"/>
      <c r="PL76" s="54"/>
      <c r="PM76" s="54"/>
      <c r="PN76" s="54"/>
      <c r="PO76" s="54"/>
      <c r="PP76" s="54"/>
      <c r="PQ76" s="54"/>
      <c r="PR76" s="54"/>
      <c r="PS76" s="54"/>
      <c r="PT76" s="54"/>
      <c r="PU76" s="54"/>
      <c r="PV76" s="54"/>
      <c r="PW76" s="54"/>
      <c r="PX76" s="39"/>
      <c r="PY76" s="39"/>
      <c r="PZ76" s="39"/>
      <c r="QA76" s="39"/>
      <c r="QB76" s="39"/>
      <c r="QC76" s="39"/>
      <c r="QD76" s="39"/>
      <c r="QE76" s="39"/>
      <c r="QF76" s="39"/>
      <c r="QG76" s="39"/>
      <c r="QH76" s="39"/>
      <c r="QI76" s="54"/>
      <c r="QJ76" s="39"/>
      <c r="QK76" s="39"/>
      <c r="QL76" s="39"/>
      <c r="QM76" s="39"/>
      <c r="QN76" s="39"/>
      <c r="QO76" s="39"/>
      <c r="QP76" s="39"/>
      <c r="QQ76" s="39"/>
      <c r="QR76" s="39"/>
      <c r="QS76" s="39"/>
      <c r="QT76" s="39"/>
      <c r="QU76" s="39"/>
      <c r="QV76" s="39"/>
      <c r="QW76" s="39"/>
      <c r="QX76" s="39"/>
      <c r="QY76" s="39"/>
      <c r="QZ76" s="39"/>
      <c r="RA76" s="39"/>
      <c r="RB76" s="39"/>
      <c r="RC76" s="39"/>
      <c r="RD76" s="39"/>
      <c r="RE76" s="39"/>
      <c r="RF76" s="39"/>
      <c r="RG76" s="39"/>
      <c r="RH76" s="39"/>
      <c r="RI76" s="39"/>
      <c r="RJ76" s="39"/>
      <c r="RK76" s="39"/>
      <c r="RL76" s="39"/>
      <c r="RM76" s="39"/>
      <c r="RN76" s="39"/>
      <c r="RO76" s="39"/>
    </row>
    <row r="77" spans="1:483" s="4" customFormat="1" ht="15.75" thickBot="1" x14ac:dyDescent="0.3">
      <c r="A77" s="74" t="s">
        <v>814</v>
      </c>
      <c r="B77" s="208"/>
      <c r="C77" s="72" t="s">
        <v>886</v>
      </c>
      <c r="D77" s="72">
        <v>2443935.4</v>
      </c>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t="s">
        <v>835</v>
      </c>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c r="ID77" s="54"/>
      <c r="IE77" s="54"/>
      <c r="IF77" s="54"/>
      <c r="IG77" s="54"/>
      <c r="IH77" s="54"/>
      <c r="II77" s="54"/>
      <c r="IJ77" s="54"/>
      <c r="IK77" s="54"/>
      <c r="IL77" s="54"/>
      <c r="IM77" s="54"/>
      <c r="IN77" s="54"/>
      <c r="IO77" s="54"/>
      <c r="IP77" s="54"/>
      <c r="IQ77" s="54"/>
      <c r="IR77" s="54"/>
      <c r="IS77" s="54"/>
      <c r="IT77" s="54"/>
      <c r="IU77" s="54"/>
      <c r="IV77" s="54"/>
      <c r="IW77" s="54"/>
      <c r="IX77" s="54"/>
      <c r="IY77" s="54"/>
      <c r="IZ77" s="54"/>
      <c r="JA77" s="54"/>
      <c r="JB77" s="54"/>
      <c r="JC77" s="54"/>
      <c r="JD77" s="54"/>
      <c r="JE77" s="54"/>
      <c r="JF77" s="54"/>
      <c r="JG77" s="54"/>
      <c r="JH77" s="54"/>
      <c r="JI77" s="54"/>
      <c r="JJ77" s="54"/>
      <c r="JK77" s="54"/>
      <c r="JL77" s="54"/>
      <c r="JM77" s="54"/>
      <c r="JN77" s="54"/>
      <c r="JO77" s="54"/>
      <c r="JP77" s="54"/>
      <c r="JQ77" s="54"/>
      <c r="JR77" s="54"/>
      <c r="JS77" s="54"/>
      <c r="JT77" s="54"/>
      <c r="JU77" s="54"/>
      <c r="JV77" s="54"/>
      <c r="JW77" s="54"/>
      <c r="JX77" s="54"/>
      <c r="JY77" s="54"/>
      <c r="JZ77" s="54"/>
      <c r="KA77" s="54"/>
      <c r="KB77" s="54"/>
      <c r="KC77" s="54"/>
      <c r="KD77" s="54"/>
      <c r="KE77" s="54"/>
      <c r="KF77" s="54"/>
      <c r="KG77" s="54"/>
      <c r="KH77" s="54"/>
      <c r="KI77" s="54"/>
      <c r="KJ77" s="54"/>
      <c r="KK77" s="54"/>
      <c r="KL77" s="54"/>
      <c r="KM77" s="54"/>
      <c r="KN77" s="54"/>
      <c r="KO77" s="54"/>
      <c r="KP77" s="54"/>
      <c r="KQ77" s="54"/>
      <c r="KR77" s="54"/>
      <c r="KS77" s="54"/>
      <c r="KT77" s="54"/>
      <c r="KU77" s="54"/>
      <c r="KV77" s="54"/>
      <c r="KW77" s="54"/>
      <c r="KX77" s="54"/>
      <c r="KY77" s="54"/>
      <c r="KZ77" s="54"/>
      <c r="LA77" s="54"/>
      <c r="LB77" s="54"/>
      <c r="LC77" s="38"/>
      <c r="LD77" s="54"/>
      <c r="LE77" s="54"/>
      <c r="LF77" s="54"/>
      <c r="LG77" s="54"/>
      <c r="LH77" s="54"/>
      <c r="LI77" s="54"/>
      <c r="LJ77" s="54"/>
      <c r="LK77" s="54"/>
      <c r="LL77" s="54"/>
      <c r="LM77" s="39"/>
      <c r="LN77" s="39"/>
      <c r="LO77" s="39"/>
      <c r="LP77" s="39"/>
      <c r="LQ77" s="39"/>
      <c r="LR77" s="39"/>
      <c r="LS77" s="39"/>
      <c r="LT77" s="39"/>
      <c r="LU77" s="39"/>
      <c r="LV77" s="39"/>
      <c r="LW77" s="39"/>
      <c r="LX77" s="39"/>
      <c r="LY77" s="39"/>
      <c r="LZ77" s="39"/>
      <c r="MA77" s="39"/>
      <c r="MB77" s="39"/>
      <c r="MC77" s="39"/>
      <c r="MD77" s="39"/>
      <c r="ME77" s="39"/>
      <c r="MF77" s="39"/>
      <c r="MG77" s="39"/>
      <c r="MH77" s="39"/>
      <c r="MI77" s="39"/>
      <c r="MJ77" s="39"/>
      <c r="MK77" s="39"/>
      <c r="ML77" s="39"/>
      <c r="MM77" s="39"/>
      <c r="MN77" s="39"/>
      <c r="MO77" s="39"/>
      <c r="MP77" s="39"/>
      <c r="MQ77" s="39"/>
      <c r="MR77" s="39"/>
      <c r="MS77" s="39"/>
      <c r="MT77" s="39"/>
      <c r="MU77" s="39"/>
      <c r="MV77" s="39"/>
      <c r="MW77" s="39"/>
      <c r="MX77" s="39"/>
      <c r="MY77" s="39"/>
      <c r="MZ77" s="39"/>
      <c r="NA77" s="39"/>
      <c r="NB77" s="39"/>
      <c r="NC77" s="39"/>
      <c r="ND77" s="39"/>
      <c r="NE77" s="39"/>
      <c r="NF77" s="39"/>
      <c r="NG77" s="39"/>
      <c r="NH77" s="39"/>
      <c r="NI77" s="39"/>
      <c r="NJ77" s="54"/>
      <c r="NK77" s="39"/>
      <c r="NL77" s="39"/>
      <c r="NM77" s="39"/>
      <c r="NN77" s="54"/>
      <c r="NO77" s="54"/>
      <c r="NP77" s="54"/>
      <c r="NQ77" s="54"/>
      <c r="NR77" s="54"/>
      <c r="NS77" s="39"/>
      <c r="NT77" s="39"/>
      <c r="NU77" s="39"/>
      <c r="NV77" s="39"/>
      <c r="NW77" s="39"/>
      <c r="NX77" s="39"/>
      <c r="NY77" s="39"/>
      <c r="NZ77" s="39"/>
      <c r="OA77" s="39"/>
      <c r="OB77" s="54"/>
      <c r="OC77" s="54"/>
      <c r="OD77" s="40"/>
      <c r="OE77" s="54"/>
      <c r="OF77" s="54"/>
      <c r="OG77" s="54"/>
      <c r="OH77" s="54"/>
      <c r="OI77" s="54"/>
      <c r="OJ77" s="54"/>
      <c r="OK77" s="54"/>
      <c r="OL77" s="54"/>
      <c r="OM77" s="54"/>
      <c r="ON77" s="54"/>
      <c r="OO77" s="54"/>
      <c r="OP77" s="54"/>
      <c r="OQ77" s="54"/>
      <c r="OR77" s="54"/>
      <c r="OS77" s="54"/>
      <c r="OT77" s="54"/>
      <c r="OU77" s="54"/>
      <c r="OV77" s="54"/>
      <c r="OW77" s="39"/>
      <c r="OX77" s="54"/>
      <c r="OY77" s="54"/>
      <c r="OZ77" s="54"/>
      <c r="PA77" s="54"/>
      <c r="PB77" s="54"/>
      <c r="PC77" s="54"/>
      <c r="PD77" s="54"/>
      <c r="PE77" s="54"/>
      <c r="PF77" s="54"/>
      <c r="PG77" s="54"/>
      <c r="PH77" s="54"/>
      <c r="PI77" s="54"/>
      <c r="PJ77" s="54"/>
      <c r="PK77" s="54"/>
      <c r="PL77" s="54"/>
      <c r="PM77" s="54"/>
      <c r="PN77" s="54"/>
      <c r="PO77" s="54"/>
      <c r="PP77" s="54"/>
      <c r="PQ77" s="54"/>
      <c r="PR77" s="54"/>
      <c r="PS77" s="54"/>
      <c r="PT77" s="54"/>
      <c r="PU77" s="54"/>
      <c r="PV77" s="54"/>
      <c r="PW77" s="54"/>
      <c r="PX77" s="39"/>
      <c r="PY77" s="39"/>
      <c r="PZ77" s="39"/>
      <c r="QA77" s="39"/>
      <c r="QB77" s="39"/>
      <c r="QC77" s="39"/>
      <c r="QD77" s="39"/>
      <c r="QE77" s="39"/>
      <c r="QF77" s="39"/>
      <c r="QG77" s="39"/>
      <c r="QH77" s="39"/>
      <c r="QI77" s="54"/>
      <c r="QJ77" s="39"/>
      <c r="QK77" s="39"/>
      <c r="QL77" s="39"/>
      <c r="QM77" s="39"/>
      <c r="QN77" s="39"/>
      <c r="QO77" s="39"/>
      <c r="QP77" s="39"/>
      <c r="QQ77" s="39"/>
      <c r="QR77" s="39"/>
      <c r="QS77" s="39"/>
      <c r="QT77" s="39"/>
      <c r="QU77" s="39"/>
      <c r="QV77" s="39"/>
      <c r="QW77" s="39"/>
      <c r="QX77" s="39"/>
      <c r="QY77" s="39"/>
      <c r="QZ77" s="39"/>
      <c r="RA77" s="39"/>
      <c r="RB77" s="39"/>
      <c r="RC77" s="39"/>
      <c r="RD77" s="39"/>
      <c r="RE77" s="39"/>
      <c r="RF77" s="39"/>
      <c r="RG77" s="39"/>
      <c r="RH77" s="39"/>
      <c r="RI77" s="39"/>
      <c r="RJ77" s="39"/>
      <c r="RK77" s="39"/>
      <c r="RL77" s="39"/>
      <c r="RM77" s="39"/>
      <c r="RN77" s="39"/>
      <c r="RO77" s="39"/>
    </row>
    <row r="78" spans="1:483" s="4" customFormat="1" ht="15.75" thickBot="1" x14ac:dyDescent="0.3">
      <c r="A78" s="74" t="s">
        <v>815</v>
      </c>
      <c r="B78" s="207" t="s">
        <v>888</v>
      </c>
      <c r="C78" s="72" t="s">
        <v>885</v>
      </c>
      <c r="D78" s="72">
        <v>1880419.8</v>
      </c>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t="s">
        <v>835</v>
      </c>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c r="IL78" s="54"/>
      <c r="IM78" s="54"/>
      <c r="IN78" s="54"/>
      <c r="IO78" s="54"/>
      <c r="IP78" s="54"/>
      <c r="IQ78" s="54"/>
      <c r="IR78" s="54"/>
      <c r="IS78" s="54"/>
      <c r="IT78" s="54"/>
      <c r="IU78" s="54"/>
      <c r="IV78" s="54"/>
      <c r="IW78" s="54"/>
      <c r="IX78" s="54"/>
      <c r="IY78" s="54"/>
      <c r="IZ78" s="54"/>
      <c r="JA78" s="54"/>
      <c r="JB78" s="54"/>
      <c r="JC78" s="54"/>
      <c r="JD78" s="54"/>
      <c r="JE78" s="54"/>
      <c r="JF78" s="54"/>
      <c r="JG78" s="54"/>
      <c r="JH78" s="54"/>
      <c r="JI78" s="54"/>
      <c r="JJ78" s="54"/>
      <c r="JK78" s="54"/>
      <c r="JL78" s="54"/>
      <c r="JM78" s="54"/>
      <c r="JN78" s="54"/>
      <c r="JO78" s="54"/>
      <c r="JP78" s="54"/>
      <c r="JQ78" s="54"/>
      <c r="JR78" s="54"/>
      <c r="JS78" s="54"/>
      <c r="JT78" s="54"/>
      <c r="JU78" s="54"/>
      <c r="JV78" s="54"/>
      <c r="JW78" s="54"/>
      <c r="JX78" s="54"/>
      <c r="JY78" s="54"/>
      <c r="JZ78" s="54"/>
      <c r="KA78" s="54"/>
      <c r="KB78" s="54"/>
      <c r="KC78" s="54"/>
      <c r="KD78" s="54"/>
      <c r="KE78" s="54"/>
      <c r="KF78" s="54"/>
      <c r="KG78" s="54"/>
      <c r="KH78" s="54"/>
      <c r="KI78" s="54"/>
      <c r="KJ78" s="54"/>
      <c r="KK78" s="54"/>
      <c r="KL78" s="54"/>
      <c r="KM78" s="54"/>
      <c r="KN78" s="54"/>
      <c r="KO78" s="54"/>
      <c r="KP78" s="54"/>
      <c r="KQ78" s="54"/>
      <c r="KR78" s="54"/>
      <c r="KS78" s="54"/>
      <c r="KT78" s="54"/>
      <c r="KU78" s="54"/>
      <c r="KV78" s="54"/>
      <c r="KW78" s="54"/>
      <c r="KX78" s="54"/>
      <c r="KY78" s="54"/>
      <c r="KZ78" s="54"/>
      <c r="LA78" s="54"/>
      <c r="LB78" s="54"/>
      <c r="LC78" s="38"/>
      <c r="LD78" s="54"/>
      <c r="LE78" s="54"/>
      <c r="LF78" s="54"/>
      <c r="LG78" s="54"/>
      <c r="LH78" s="54"/>
      <c r="LI78" s="54"/>
      <c r="LJ78" s="54"/>
      <c r="LK78" s="54"/>
      <c r="LL78" s="54"/>
      <c r="LM78" s="39"/>
      <c r="LN78" s="39"/>
      <c r="LO78" s="39"/>
      <c r="LP78" s="39"/>
      <c r="LQ78" s="39"/>
      <c r="LR78" s="39"/>
      <c r="LS78" s="39"/>
      <c r="LT78" s="39"/>
      <c r="LU78" s="39"/>
      <c r="LV78" s="39"/>
      <c r="LW78" s="39"/>
      <c r="LX78" s="39"/>
      <c r="LY78" s="39"/>
      <c r="LZ78" s="39"/>
      <c r="MA78" s="39"/>
      <c r="MB78" s="39"/>
      <c r="MC78" s="39"/>
      <c r="MD78" s="39"/>
      <c r="ME78" s="39"/>
      <c r="MF78" s="39"/>
      <c r="MG78" s="39"/>
      <c r="MH78" s="39"/>
      <c r="MI78" s="39"/>
      <c r="MJ78" s="39"/>
      <c r="MK78" s="39"/>
      <c r="ML78" s="39"/>
      <c r="MM78" s="39"/>
      <c r="MN78" s="39"/>
      <c r="MO78" s="39"/>
      <c r="MP78" s="39"/>
      <c r="MQ78" s="39"/>
      <c r="MR78" s="39"/>
      <c r="MS78" s="39"/>
      <c r="MT78" s="39"/>
      <c r="MU78" s="39"/>
      <c r="MV78" s="39"/>
      <c r="MW78" s="39"/>
      <c r="MX78" s="39"/>
      <c r="MY78" s="39"/>
      <c r="MZ78" s="39"/>
      <c r="NA78" s="39"/>
      <c r="NB78" s="39"/>
      <c r="NC78" s="39"/>
      <c r="ND78" s="39"/>
      <c r="NE78" s="39"/>
      <c r="NF78" s="39"/>
      <c r="NG78" s="39"/>
      <c r="NH78" s="39"/>
      <c r="NI78" s="39"/>
      <c r="NJ78" s="54"/>
      <c r="NK78" s="39"/>
      <c r="NL78" s="39"/>
      <c r="NM78" s="39"/>
      <c r="NN78" s="54"/>
      <c r="NO78" s="54"/>
      <c r="NP78" s="54"/>
      <c r="NQ78" s="54"/>
      <c r="NR78" s="54"/>
      <c r="NS78" s="39"/>
      <c r="NT78" s="39"/>
      <c r="NU78" s="39"/>
      <c r="NV78" s="39"/>
      <c r="NW78" s="39"/>
      <c r="NX78" s="39"/>
      <c r="NY78" s="39"/>
      <c r="NZ78" s="39"/>
      <c r="OA78" s="39"/>
      <c r="OB78" s="54"/>
      <c r="OC78" s="54"/>
      <c r="OD78" s="40"/>
      <c r="OE78" s="54"/>
      <c r="OF78" s="54"/>
      <c r="OG78" s="54"/>
      <c r="OH78" s="54"/>
      <c r="OI78" s="54"/>
      <c r="OJ78" s="54"/>
      <c r="OK78" s="54"/>
      <c r="OL78" s="54"/>
      <c r="OM78" s="54"/>
      <c r="ON78" s="54"/>
      <c r="OO78" s="54"/>
      <c r="OP78" s="54"/>
      <c r="OQ78" s="54"/>
      <c r="OR78" s="54"/>
      <c r="OS78" s="54"/>
      <c r="OT78" s="54"/>
      <c r="OU78" s="54"/>
      <c r="OV78" s="54"/>
      <c r="OW78" s="39"/>
      <c r="OX78" s="54"/>
      <c r="OY78" s="54"/>
      <c r="OZ78" s="54"/>
      <c r="PA78" s="54"/>
      <c r="PB78" s="54"/>
      <c r="PC78" s="54"/>
      <c r="PD78" s="54"/>
      <c r="PE78" s="54"/>
      <c r="PF78" s="54"/>
      <c r="PG78" s="54"/>
      <c r="PH78" s="54"/>
      <c r="PI78" s="54"/>
      <c r="PJ78" s="54"/>
      <c r="PK78" s="54"/>
      <c r="PL78" s="54"/>
      <c r="PM78" s="54"/>
      <c r="PN78" s="54"/>
      <c r="PO78" s="54"/>
      <c r="PP78" s="54"/>
      <c r="PQ78" s="54"/>
      <c r="PR78" s="54"/>
      <c r="PS78" s="54"/>
      <c r="PT78" s="54"/>
      <c r="PU78" s="54"/>
      <c r="PV78" s="54"/>
      <c r="PW78" s="54"/>
      <c r="PX78" s="39"/>
      <c r="PY78" s="39"/>
      <c r="PZ78" s="39"/>
      <c r="QA78" s="39"/>
      <c r="QB78" s="39"/>
      <c r="QC78" s="39"/>
      <c r="QD78" s="39"/>
      <c r="QE78" s="39"/>
      <c r="QF78" s="39"/>
      <c r="QG78" s="39"/>
      <c r="QH78" s="39"/>
      <c r="QI78" s="54"/>
      <c r="QJ78" s="39"/>
      <c r="QK78" s="39"/>
      <c r="QL78" s="39"/>
      <c r="QM78" s="39"/>
      <c r="QN78" s="39"/>
      <c r="QO78" s="39"/>
      <c r="QP78" s="39"/>
      <c r="QQ78" s="39"/>
      <c r="QR78" s="39"/>
      <c r="QS78" s="39"/>
      <c r="QT78" s="39"/>
      <c r="QU78" s="39"/>
      <c r="QV78" s="39"/>
      <c r="QW78" s="39"/>
      <c r="QX78" s="39"/>
      <c r="QY78" s="39"/>
      <c r="QZ78" s="39"/>
      <c r="RA78" s="39"/>
      <c r="RB78" s="39"/>
      <c r="RC78" s="39"/>
      <c r="RD78" s="39"/>
      <c r="RE78" s="39"/>
      <c r="RF78" s="39"/>
      <c r="RG78" s="39"/>
      <c r="RH78" s="39"/>
      <c r="RI78" s="39"/>
      <c r="RJ78" s="39"/>
      <c r="RK78" s="39"/>
      <c r="RL78" s="39"/>
      <c r="RM78" s="39"/>
      <c r="RN78" s="39"/>
      <c r="RO78" s="39"/>
    </row>
    <row r="79" spans="1:483" s="4" customFormat="1" ht="15.75" thickBot="1" x14ac:dyDescent="0.3">
      <c r="A79" s="74" t="s">
        <v>816</v>
      </c>
      <c r="B79" s="208"/>
      <c r="C79" s="72" t="s">
        <v>886</v>
      </c>
      <c r="D79" s="72">
        <v>565600.30000000005</v>
      </c>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t="s">
        <v>835</v>
      </c>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c r="IL79" s="54"/>
      <c r="IM79" s="54"/>
      <c r="IN79" s="54"/>
      <c r="IO79" s="54"/>
      <c r="IP79" s="54"/>
      <c r="IQ79" s="54"/>
      <c r="IR79" s="54"/>
      <c r="IS79" s="54"/>
      <c r="IT79" s="54"/>
      <c r="IU79" s="54"/>
      <c r="IV79" s="54"/>
      <c r="IW79" s="54"/>
      <c r="IX79" s="54"/>
      <c r="IY79" s="54"/>
      <c r="IZ79" s="54"/>
      <c r="JA79" s="54"/>
      <c r="JB79" s="54"/>
      <c r="JC79" s="54"/>
      <c r="JD79" s="54"/>
      <c r="JE79" s="54"/>
      <c r="JF79" s="54"/>
      <c r="JG79" s="54"/>
      <c r="JH79" s="54"/>
      <c r="JI79" s="54"/>
      <c r="JJ79" s="54"/>
      <c r="JK79" s="54"/>
      <c r="JL79" s="54"/>
      <c r="JM79" s="54"/>
      <c r="JN79" s="54"/>
      <c r="JO79" s="54"/>
      <c r="JP79" s="54"/>
      <c r="JQ79" s="54"/>
      <c r="JR79" s="54"/>
      <c r="JS79" s="54"/>
      <c r="JT79" s="54"/>
      <c r="JU79" s="54"/>
      <c r="JV79" s="54"/>
      <c r="JW79" s="54"/>
      <c r="JX79" s="54"/>
      <c r="JY79" s="54"/>
      <c r="JZ79" s="54"/>
      <c r="KA79" s="54"/>
      <c r="KB79" s="54"/>
      <c r="KC79" s="54"/>
      <c r="KD79" s="54"/>
      <c r="KE79" s="54"/>
      <c r="KF79" s="54"/>
      <c r="KG79" s="54"/>
      <c r="KH79" s="54"/>
      <c r="KI79" s="54"/>
      <c r="KJ79" s="54"/>
      <c r="KK79" s="54"/>
      <c r="KL79" s="54"/>
      <c r="KM79" s="54"/>
      <c r="KN79" s="54"/>
      <c r="KO79" s="54"/>
      <c r="KP79" s="54"/>
      <c r="KQ79" s="54"/>
      <c r="KR79" s="54"/>
      <c r="KS79" s="54"/>
      <c r="KT79" s="54"/>
      <c r="KU79" s="54"/>
      <c r="KV79" s="54"/>
      <c r="KW79" s="54"/>
      <c r="KX79" s="54"/>
      <c r="KY79" s="54"/>
      <c r="KZ79" s="54"/>
      <c r="LA79" s="54"/>
      <c r="LB79" s="54"/>
      <c r="LC79" s="38"/>
      <c r="LD79" s="54"/>
      <c r="LE79" s="54"/>
      <c r="LF79" s="54"/>
      <c r="LG79" s="54"/>
      <c r="LH79" s="54"/>
      <c r="LI79" s="54"/>
      <c r="LJ79" s="54"/>
      <c r="LK79" s="54"/>
      <c r="LL79" s="54"/>
      <c r="LM79" s="39"/>
      <c r="LN79" s="39"/>
      <c r="LO79" s="39"/>
      <c r="LP79" s="39"/>
      <c r="LQ79" s="39"/>
      <c r="LR79" s="39"/>
      <c r="LS79" s="39"/>
      <c r="LT79" s="39"/>
      <c r="LU79" s="39"/>
      <c r="LV79" s="39"/>
      <c r="LW79" s="39"/>
      <c r="LX79" s="39"/>
      <c r="LY79" s="39"/>
      <c r="LZ79" s="39"/>
      <c r="MA79" s="39"/>
      <c r="MB79" s="39"/>
      <c r="MC79" s="39"/>
      <c r="MD79" s="39"/>
      <c r="ME79" s="39"/>
      <c r="MF79" s="39"/>
      <c r="MG79" s="39"/>
      <c r="MH79" s="39"/>
      <c r="MI79" s="39"/>
      <c r="MJ79" s="39"/>
      <c r="MK79" s="39"/>
      <c r="ML79" s="39"/>
      <c r="MM79" s="39"/>
      <c r="MN79" s="39"/>
      <c r="MO79" s="39"/>
      <c r="MP79" s="39"/>
      <c r="MQ79" s="39"/>
      <c r="MR79" s="39"/>
      <c r="MS79" s="39"/>
      <c r="MT79" s="39"/>
      <c r="MU79" s="39"/>
      <c r="MV79" s="39"/>
      <c r="MW79" s="39"/>
      <c r="MX79" s="39"/>
      <c r="MY79" s="39"/>
      <c r="MZ79" s="39"/>
      <c r="NA79" s="39"/>
      <c r="NB79" s="39"/>
      <c r="NC79" s="39"/>
      <c r="ND79" s="39"/>
      <c r="NE79" s="39"/>
      <c r="NF79" s="39"/>
      <c r="NG79" s="39"/>
      <c r="NH79" s="39"/>
      <c r="NI79" s="39"/>
      <c r="NJ79" s="54"/>
      <c r="NK79" s="39"/>
      <c r="NL79" s="39"/>
      <c r="NM79" s="39"/>
      <c r="NN79" s="54"/>
      <c r="NO79" s="54"/>
      <c r="NP79" s="54"/>
      <c r="NQ79" s="54"/>
      <c r="NR79" s="54"/>
      <c r="NS79" s="39"/>
      <c r="NT79" s="39"/>
      <c r="NU79" s="39"/>
      <c r="NV79" s="39"/>
      <c r="NW79" s="39"/>
      <c r="NX79" s="39"/>
      <c r="NY79" s="39"/>
      <c r="NZ79" s="39"/>
      <c r="OA79" s="39"/>
      <c r="OB79" s="54"/>
      <c r="OC79" s="54"/>
      <c r="OD79" s="40"/>
      <c r="OE79" s="54"/>
      <c r="OF79" s="54"/>
      <c r="OG79" s="54"/>
      <c r="OH79" s="54"/>
      <c r="OI79" s="54"/>
      <c r="OJ79" s="54"/>
      <c r="OK79" s="54"/>
      <c r="OL79" s="54"/>
      <c r="OM79" s="54"/>
      <c r="ON79" s="54"/>
      <c r="OO79" s="54"/>
      <c r="OP79" s="54"/>
      <c r="OQ79" s="54"/>
      <c r="OR79" s="54"/>
      <c r="OS79" s="54"/>
      <c r="OT79" s="54"/>
      <c r="OU79" s="54"/>
      <c r="OV79" s="54"/>
      <c r="OW79" s="39"/>
      <c r="OX79" s="54"/>
      <c r="OY79" s="54"/>
      <c r="OZ79" s="54"/>
      <c r="PA79" s="54"/>
      <c r="PB79" s="54"/>
      <c r="PC79" s="54"/>
      <c r="PD79" s="54"/>
      <c r="PE79" s="54"/>
      <c r="PF79" s="54"/>
      <c r="PG79" s="54"/>
      <c r="PH79" s="54"/>
      <c r="PI79" s="54"/>
      <c r="PJ79" s="54"/>
      <c r="PK79" s="54"/>
      <c r="PL79" s="54"/>
      <c r="PM79" s="54"/>
      <c r="PN79" s="54"/>
      <c r="PO79" s="54"/>
      <c r="PP79" s="54"/>
      <c r="PQ79" s="54"/>
      <c r="PR79" s="54"/>
      <c r="PS79" s="54"/>
      <c r="PT79" s="54"/>
      <c r="PU79" s="54"/>
      <c r="PV79" s="54"/>
      <c r="PW79" s="54"/>
      <c r="PX79" s="39"/>
      <c r="PY79" s="39"/>
      <c r="PZ79" s="39"/>
      <c r="QA79" s="39"/>
      <c r="QB79" s="39"/>
      <c r="QC79" s="39"/>
      <c r="QD79" s="39"/>
      <c r="QE79" s="39"/>
      <c r="QF79" s="39"/>
      <c r="QG79" s="39"/>
      <c r="QH79" s="39"/>
      <c r="QI79" s="54"/>
      <c r="QJ79" s="39"/>
      <c r="QK79" s="39"/>
      <c r="QL79" s="39"/>
      <c r="QM79" s="39"/>
      <c r="QN79" s="39"/>
      <c r="QO79" s="39"/>
      <c r="QP79" s="39"/>
      <c r="QQ79" s="39"/>
      <c r="QR79" s="39"/>
      <c r="QS79" s="39"/>
      <c r="QT79" s="39"/>
      <c r="QU79" s="39"/>
      <c r="QV79" s="39"/>
      <c r="QW79" s="39"/>
      <c r="QX79" s="39"/>
      <c r="QY79" s="39"/>
      <c r="QZ79" s="39"/>
      <c r="RA79" s="39"/>
      <c r="RB79" s="39"/>
      <c r="RC79" s="39"/>
      <c r="RD79" s="39"/>
      <c r="RE79" s="39"/>
      <c r="RF79" s="39"/>
      <c r="RG79" s="39"/>
      <c r="RH79" s="39"/>
      <c r="RI79" s="39"/>
      <c r="RJ79" s="39"/>
      <c r="RK79" s="39"/>
      <c r="RL79" s="39"/>
      <c r="RM79" s="39"/>
      <c r="RN79" s="39"/>
      <c r="RO79" s="39"/>
    </row>
    <row r="80" spans="1:483" s="4" customFormat="1" ht="15.75" thickBot="1" x14ac:dyDescent="0.3">
      <c r="A80" s="74" t="s">
        <v>817</v>
      </c>
      <c r="B80" s="209" t="s">
        <v>889</v>
      </c>
      <c r="C80" s="72" t="s">
        <v>885</v>
      </c>
      <c r="D80" s="72">
        <v>0</v>
      </c>
      <c r="E80" s="67"/>
      <c r="F80" s="67"/>
      <c r="G80" s="67"/>
      <c r="H80" s="67"/>
      <c r="I80" s="67"/>
      <c r="J80" s="67"/>
      <c r="K80" s="67"/>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7"/>
      <c r="BF80" s="62"/>
      <c r="BG80" s="62"/>
      <c r="BH80" s="62"/>
      <c r="BI80" s="62"/>
      <c r="BJ80" s="62"/>
      <c r="BK80" s="62" t="s">
        <v>835</v>
      </c>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8"/>
      <c r="LD80" s="14"/>
      <c r="LE80" s="14"/>
      <c r="LF80" s="14"/>
      <c r="LG80" s="14"/>
      <c r="LH80" s="14"/>
      <c r="LI80" s="14"/>
      <c r="LJ80" s="14"/>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14"/>
      <c r="NK80" s="5"/>
      <c r="NL80" s="5"/>
      <c r="NM80" s="5"/>
      <c r="NN80" s="14"/>
      <c r="NO80" s="14"/>
      <c r="NP80" s="14"/>
      <c r="NQ80" s="5"/>
      <c r="NR80" s="5"/>
      <c r="NS80" s="5"/>
      <c r="NT80" s="5"/>
      <c r="NU80" s="5"/>
      <c r="NV80" s="5"/>
      <c r="NW80" s="5"/>
      <c r="NX80" s="5"/>
      <c r="NY80" s="5"/>
      <c r="NZ80" s="5"/>
      <c r="OA80" s="5"/>
      <c r="OB80" s="14"/>
      <c r="OC80" s="14"/>
      <c r="OD80" s="19"/>
      <c r="OE80" s="14"/>
      <c r="OF80" s="14"/>
      <c r="OG80" s="14"/>
      <c r="OH80" s="14"/>
      <c r="OI80" s="14"/>
      <c r="OJ80" s="14"/>
      <c r="OK80" s="14"/>
      <c r="OL80" s="14"/>
      <c r="OM80" s="14"/>
      <c r="ON80" s="14"/>
      <c r="OO80" s="14"/>
      <c r="OP80" s="14"/>
      <c r="OQ80" s="14"/>
      <c r="OR80" s="14"/>
      <c r="OS80" s="14"/>
      <c r="OT80" s="14"/>
      <c r="OU80" s="14"/>
      <c r="OV80" s="14"/>
      <c r="OW80" s="5"/>
      <c r="OX80" s="14"/>
      <c r="OY80" s="14"/>
      <c r="OZ80" s="14"/>
      <c r="PA80" s="14"/>
      <c r="PB80" s="14"/>
      <c r="PC80" s="14"/>
      <c r="PD80" s="14"/>
      <c r="PE80" s="14"/>
      <c r="PF80" s="14"/>
      <c r="PG80" s="14"/>
      <c r="PH80" s="14"/>
      <c r="PI80" s="14"/>
      <c r="PJ80" s="14"/>
      <c r="PK80" s="14"/>
      <c r="PL80" s="5"/>
      <c r="PM80" s="5"/>
      <c r="PN80" s="5"/>
      <c r="PO80" s="5"/>
      <c r="PP80" s="5"/>
      <c r="PQ80" s="5"/>
      <c r="PR80" s="5"/>
      <c r="PS80" s="5"/>
      <c r="PT80" s="5"/>
      <c r="PU80" s="5"/>
      <c r="PV80" s="5"/>
      <c r="PW80" s="5"/>
      <c r="PX80" s="5"/>
      <c r="PY80" s="5"/>
      <c r="PZ80" s="5"/>
      <c r="QA80" s="5"/>
      <c r="QB80" s="5"/>
      <c r="QC80" s="5"/>
      <c r="QD80" s="5"/>
      <c r="QE80" s="5"/>
      <c r="QF80" s="5"/>
      <c r="QG80" s="5"/>
      <c r="QH80" s="5"/>
      <c r="QI80" s="14"/>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row>
    <row r="81" spans="1:483" s="4" customFormat="1" ht="15.75" thickBot="1" x14ac:dyDescent="0.3">
      <c r="A81" s="74" t="s">
        <v>818</v>
      </c>
      <c r="B81" s="210"/>
      <c r="C81" s="72" t="s">
        <v>886</v>
      </c>
      <c r="D81" s="72">
        <v>0</v>
      </c>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t="s">
        <v>835</v>
      </c>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18"/>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19"/>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row>
    <row r="82" spans="1:483" s="4" customFormat="1" ht="15.75" thickBot="1" x14ac:dyDescent="0.3">
      <c r="A82" s="198" t="s">
        <v>819</v>
      </c>
      <c r="B82" s="203"/>
      <c r="C82" s="73"/>
      <c r="D82" s="7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t="s">
        <v>835</v>
      </c>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5"/>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14"/>
      <c r="NH82" s="14"/>
      <c r="NI82" s="14"/>
      <c r="NJ82" s="14"/>
      <c r="NK82" s="14"/>
      <c r="NL82" s="14"/>
      <c r="NM82" s="14"/>
      <c r="NN82" s="14"/>
      <c r="NO82" s="14"/>
      <c r="NP82" s="14"/>
      <c r="NQ82" s="14"/>
      <c r="NR82" s="14"/>
      <c r="NS82" s="14"/>
      <c r="NT82" s="14"/>
      <c r="NU82" s="14"/>
      <c r="NV82" s="14"/>
      <c r="NW82" s="14"/>
      <c r="NX82" s="14"/>
      <c r="NY82" s="14"/>
      <c r="NZ82" s="14"/>
      <c r="OA82" s="14"/>
      <c r="OB82" s="14"/>
      <c r="OC82" s="14"/>
      <c r="OD82" s="20"/>
      <c r="OE82" s="14"/>
      <c r="OF82" s="14"/>
      <c r="OG82" s="14"/>
      <c r="OH82" s="14"/>
      <c r="OI82" s="14"/>
      <c r="OJ82" s="14"/>
      <c r="OK82" s="14"/>
      <c r="OL82" s="14"/>
      <c r="OM82" s="14"/>
      <c r="ON82" s="14"/>
      <c r="OO82" s="14"/>
      <c r="OP82" s="14"/>
      <c r="OQ82" s="14"/>
      <c r="OR82" s="14"/>
      <c r="OS82" s="14"/>
      <c r="OT82" s="14"/>
      <c r="OU82" s="14"/>
      <c r="OV82" s="14"/>
      <c r="OW82" s="14"/>
      <c r="OX82" s="14"/>
      <c r="OY82" s="14"/>
      <c r="OZ82" s="14"/>
      <c r="PA82" s="14"/>
      <c r="PB82" s="14"/>
      <c r="PC82" s="14"/>
      <c r="PD82" s="14"/>
      <c r="PE82" s="14"/>
      <c r="PF82" s="14"/>
      <c r="PG82" s="14"/>
      <c r="PH82" s="14"/>
      <c r="PI82" s="14"/>
      <c r="PJ82" s="14"/>
      <c r="PK82" s="14"/>
      <c r="PL82" s="14"/>
      <c r="PM82" s="14"/>
      <c r="PN82" s="14"/>
      <c r="PO82" s="14"/>
      <c r="PP82" s="14"/>
      <c r="PQ82" s="14"/>
      <c r="PR82" s="14"/>
      <c r="PS82" s="14"/>
      <c r="PT82" s="14"/>
      <c r="PU82" s="14"/>
      <c r="PV82" s="14"/>
      <c r="PW82" s="14"/>
      <c r="PX82" s="14"/>
      <c r="PY82" s="14"/>
      <c r="PZ82" s="14"/>
      <c r="QA82" s="14"/>
      <c r="QB82" s="14"/>
      <c r="QC82" s="14"/>
      <c r="QD82" s="14"/>
      <c r="QE82" s="14"/>
      <c r="QF82" s="14"/>
      <c r="QG82" s="14"/>
      <c r="QH82" s="14"/>
      <c r="QI82" s="14"/>
      <c r="QJ82" s="14"/>
      <c r="QK82" s="14"/>
      <c r="QL82" s="14"/>
      <c r="QM82" s="14"/>
      <c r="QN82" s="14"/>
      <c r="QO82" s="14"/>
      <c r="QP82" s="14"/>
      <c r="QQ82" s="14"/>
      <c r="QR82" s="14"/>
      <c r="QS82" s="14"/>
      <c r="QT82" s="14"/>
      <c r="QU82" s="14"/>
      <c r="QV82" s="14"/>
      <c r="QW82" s="14"/>
      <c r="QX82" s="14"/>
      <c r="QY82" s="14"/>
      <c r="QZ82" s="14"/>
      <c r="RA82" s="14"/>
      <c r="RB82" s="14"/>
      <c r="RC82" s="14"/>
      <c r="RD82" s="14"/>
      <c r="RE82" s="14"/>
      <c r="RF82" s="14"/>
      <c r="RG82" s="14"/>
      <c r="RH82" s="14"/>
      <c r="RI82" s="14"/>
      <c r="RJ82" s="14"/>
      <c r="RK82" s="14"/>
      <c r="RL82" s="14"/>
      <c r="RM82" s="14"/>
      <c r="RN82" s="14"/>
      <c r="RO82" s="14"/>
    </row>
    <row r="83" spans="1:483" s="4" customFormat="1" ht="15.75" thickBot="1" x14ac:dyDescent="0.3">
      <c r="A83" s="70">
        <v>1</v>
      </c>
      <c r="B83" s="190" t="s">
        <v>890</v>
      </c>
      <c r="C83" s="191"/>
      <c r="D83" s="72">
        <v>0</v>
      </c>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t="s">
        <v>835</v>
      </c>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18"/>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19"/>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row>
    <row r="84" spans="1:483" s="4" customFormat="1" ht="15.75" thickBot="1" x14ac:dyDescent="0.3">
      <c r="A84" s="70">
        <v>2</v>
      </c>
      <c r="B84" s="190" t="s">
        <v>891</v>
      </c>
      <c r="C84" s="191"/>
      <c r="D84" s="72">
        <v>0</v>
      </c>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t="s">
        <v>835</v>
      </c>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18"/>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19"/>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row>
    <row r="85" spans="1:483" s="4" customFormat="1" ht="15.75" thickBot="1" x14ac:dyDescent="0.3">
      <c r="A85" s="70">
        <v>3</v>
      </c>
      <c r="B85" s="190" t="s">
        <v>892</v>
      </c>
      <c r="C85" s="191"/>
      <c r="D85" s="72">
        <v>0</v>
      </c>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t="s">
        <v>835</v>
      </c>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18"/>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19"/>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row>
    <row r="86" spans="1:483" s="4" customFormat="1" ht="15.75" thickBot="1" x14ac:dyDescent="0.3">
      <c r="A86" s="70">
        <v>4</v>
      </c>
      <c r="B86" s="190" t="s">
        <v>893</v>
      </c>
      <c r="C86" s="191"/>
      <c r="D86" s="72">
        <v>0</v>
      </c>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t="s">
        <v>835</v>
      </c>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c r="IX86" s="5"/>
      <c r="IY86" s="5"/>
      <c r="IZ86" s="5"/>
      <c r="JA86" s="5"/>
      <c r="JB86" s="5"/>
      <c r="JC86" s="5"/>
      <c r="JD86" s="5"/>
      <c r="JE86" s="5"/>
      <c r="JF86" s="5"/>
      <c r="JG86" s="5"/>
      <c r="JH86" s="5"/>
      <c r="JI86" s="5"/>
      <c r="JJ86" s="5"/>
      <c r="JK86" s="5"/>
      <c r="JL86" s="5"/>
      <c r="JM86" s="5"/>
      <c r="JN86" s="5"/>
      <c r="JO86" s="5"/>
      <c r="JP86" s="5"/>
      <c r="JQ86" s="5"/>
      <c r="JR86" s="5"/>
      <c r="JS86" s="5"/>
      <c r="JT86" s="5"/>
      <c r="JU86" s="5"/>
      <c r="JV86" s="5"/>
      <c r="JW86" s="5"/>
      <c r="JX86" s="5"/>
      <c r="JY86" s="5"/>
      <c r="JZ86" s="5"/>
      <c r="KA86" s="5"/>
      <c r="KB86" s="5"/>
      <c r="KC86" s="5"/>
      <c r="KD86" s="5"/>
      <c r="KE86" s="5"/>
      <c r="KF86" s="5"/>
      <c r="KG86" s="5"/>
      <c r="KH86" s="5"/>
      <c r="KI86" s="5"/>
      <c r="KJ86" s="5"/>
      <c r="KK86" s="5"/>
      <c r="KL86" s="5"/>
      <c r="KM86" s="5"/>
      <c r="KN86" s="5"/>
      <c r="KO86" s="5"/>
      <c r="KP86" s="5"/>
      <c r="KQ86" s="5"/>
      <c r="KR86" s="5"/>
      <c r="KS86" s="5"/>
      <c r="KT86" s="5"/>
      <c r="KU86" s="5"/>
      <c r="KV86" s="5"/>
      <c r="KW86" s="5"/>
      <c r="KX86" s="5"/>
      <c r="KY86" s="5"/>
      <c r="KZ86" s="5"/>
      <c r="LA86" s="5"/>
      <c r="LB86" s="5"/>
      <c r="LC86" s="18"/>
      <c r="LD86" s="5"/>
      <c r="LE86" s="5"/>
      <c r="LF86" s="5"/>
      <c r="LG86" s="5"/>
      <c r="LH86" s="5"/>
      <c r="LI86" s="5"/>
      <c r="LJ86" s="5"/>
      <c r="LK86" s="5"/>
      <c r="LL86" s="5"/>
      <c r="LM86" s="5"/>
      <c r="LN86" s="5"/>
      <c r="LO86" s="5"/>
      <c r="LP86" s="5"/>
      <c r="LQ86" s="5"/>
      <c r="LR86" s="5"/>
      <c r="LS86" s="5"/>
      <c r="LT86" s="5"/>
      <c r="LU86" s="5"/>
      <c r="LV86" s="5"/>
      <c r="LW86" s="5"/>
      <c r="LX86" s="5"/>
      <c r="LY86" s="5"/>
      <c r="LZ86" s="5"/>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19"/>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row>
    <row r="87" spans="1:483" s="4" customFormat="1" ht="15.75" thickBot="1" x14ac:dyDescent="0.3">
      <c r="A87" s="70">
        <v>5</v>
      </c>
      <c r="B87" s="190" t="s">
        <v>894</v>
      </c>
      <c r="C87" s="191"/>
      <c r="D87" s="72">
        <v>0</v>
      </c>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t="s">
        <v>835</v>
      </c>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c r="IW87" s="5"/>
      <c r="IX87" s="5"/>
      <c r="IY87" s="5"/>
      <c r="IZ87" s="5"/>
      <c r="JA87" s="5"/>
      <c r="JB87" s="5"/>
      <c r="JC87" s="5"/>
      <c r="JD87" s="5"/>
      <c r="JE87" s="5"/>
      <c r="JF87" s="5"/>
      <c r="JG87" s="5"/>
      <c r="JH87" s="5"/>
      <c r="JI87" s="5"/>
      <c r="JJ87" s="5"/>
      <c r="JK87" s="5"/>
      <c r="JL87" s="5"/>
      <c r="JM87" s="5"/>
      <c r="JN87" s="5"/>
      <c r="JO87" s="5"/>
      <c r="JP87" s="5"/>
      <c r="JQ87" s="5"/>
      <c r="JR87" s="5"/>
      <c r="JS87" s="5"/>
      <c r="JT87" s="5"/>
      <c r="JU87" s="5"/>
      <c r="JV87" s="5"/>
      <c r="JW87" s="5"/>
      <c r="JX87" s="5"/>
      <c r="JY87" s="5"/>
      <c r="JZ87" s="5"/>
      <c r="KA87" s="5"/>
      <c r="KB87" s="5"/>
      <c r="KC87" s="5"/>
      <c r="KD87" s="5"/>
      <c r="KE87" s="5"/>
      <c r="KF87" s="5"/>
      <c r="KG87" s="5"/>
      <c r="KH87" s="5"/>
      <c r="KI87" s="5"/>
      <c r="KJ87" s="5"/>
      <c r="KK87" s="5"/>
      <c r="KL87" s="5"/>
      <c r="KM87" s="5"/>
      <c r="KN87" s="5"/>
      <c r="KO87" s="5"/>
      <c r="KP87" s="5"/>
      <c r="KQ87" s="5"/>
      <c r="KR87" s="5"/>
      <c r="KS87" s="5"/>
      <c r="KT87" s="5"/>
      <c r="KU87" s="5"/>
      <c r="KV87" s="5"/>
      <c r="KW87" s="5"/>
      <c r="KX87" s="5"/>
      <c r="KY87" s="5"/>
      <c r="KZ87" s="5"/>
      <c r="LA87" s="5"/>
      <c r="LB87" s="5"/>
      <c r="LC87" s="18"/>
      <c r="LD87" s="5"/>
      <c r="LE87" s="5"/>
      <c r="LF87" s="5"/>
      <c r="LG87" s="5"/>
      <c r="LH87" s="5"/>
      <c r="LI87" s="5"/>
      <c r="LJ87" s="5"/>
      <c r="LK87" s="5"/>
      <c r="LL87" s="5"/>
      <c r="LM87" s="5"/>
      <c r="LN87" s="5"/>
      <c r="LO87" s="5"/>
      <c r="LP87" s="5"/>
      <c r="LQ87" s="5"/>
      <c r="LR87" s="5"/>
      <c r="LS87" s="5"/>
      <c r="LT87" s="5"/>
      <c r="LU87" s="5"/>
      <c r="LV87" s="5"/>
      <c r="LW87" s="5"/>
      <c r="LX87" s="5"/>
      <c r="LY87" s="5"/>
      <c r="LZ87" s="5"/>
      <c r="MA87" s="5"/>
      <c r="MB87" s="5"/>
      <c r="MC87" s="5"/>
      <c r="MD87" s="5"/>
      <c r="ME87" s="5"/>
      <c r="MF87" s="5"/>
      <c r="MG87" s="5"/>
      <c r="MH87" s="5"/>
      <c r="MI87" s="5"/>
      <c r="MJ87" s="5"/>
      <c r="MK87" s="5"/>
      <c r="ML87" s="5"/>
      <c r="MM87" s="5"/>
      <c r="MN87" s="5"/>
      <c r="MO87" s="5"/>
      <c r="MP87" s="5"/>
      <c r="MQ87" s="5"/>
      <c r="MR87" s="5"/>
      <c r="MS87" s="5"/>
      <c r="MT87" s="5"/>
      <c r="MU87" s="5"/>
      <c r="MV87" s="5"/>
      <c r="MW87" s="5"/>
      <c r="MX87" s="5"/>
      <c r="MY87" s="5"/>
      <c r="MZ87" s="5"/>
      <c r="NA87" s="5"/>
      <c r="NB87" s="5"/>
      <c r="NC87" s="5"/>
      <c r="ND87" s="5"/>
      <c r="NE87" s="5"/>
      <c r="NF87" s="5"/>
      <c r="NG87" s="5"/>
      <c r="NH87" s="5"/>
      <c r="NI87" s="5"/>
      <c r="NJ87" s="5"/>
      <c r="NK87" s="5"/>
      <c r="NL87" s="5"/>
      <c r="NM87" s="5"/>
      <c r="NN87" s="5"/>
      <c r="NO87" s="5"/>
      <c r="NP87" s="5"/>
      <c r="NQ87" s="5"/>
      <c r="NR87" s="5"/>
      <c r="NS87" s="5"/>
      <c r="NT87" s="5"/>
      <c r="NU87" s="5"/>
      <c r="NV87" s="5"/>
      <c r="NW87" s="5"/>
      <c r="NX87" s="5"/>
      <c r="NY87" s="5"/>
      <c r="NZ87" s="5"/>
      <c r="OA87" s="5"/>
      <c r="OB87" s="5"/>
      <c r="OC87" s="5"/>
      <c r="OD87" s="19"/>
      <c r="OE87" s="5"/>
      <c r="OF87" s="5"/>
      <c r="OG87" s="5"/>
      <c r="OH87" s="5"/>
      <c r="OI87" s="5"/>
      <c r="OJ87" s="5"/>
      <c r="OK87" s="5"/>
      <c r="OL87" s="5"/>
      <c r="OM87" s="5"/>
      <c r="ON87" s="5"/>
      <c r="OO87" s="5"/>
      <c r="OP87" s="5"/>
      <c r="OQ87" s="5"/>
      <c r="OR87" s="5"/>
      <c r="OS87" s="5"/>
      <c r="OT87" s="5"/>
      <c r="OU87" s="5"/>
      <c r="OV87" s="5"/>
      <c r="OW87" s="5"/>
      <c r="OX87" s="5"/>
      <c r="OY87" s="5"/>
      <c r="OZ87" s="5"/>
      <c r="PA87" s="5"/>
      <c r="PB87" s="5"/>
      <c r="PC87" s="5"/>
      <c r="PD87" s="5"/>
      <c r="PE87" s="5"/>
      <c r="PF87" s="5"/>
      <c r="PG87" s="5"/>
      <c r="PH87" s="5"/>
      <c r="PI87" s="5"/>
      <c r="PJ87" s="5"/>
      <c r="PK87" s="5"/>
      <c r="PL87" s="5"/>
      <c r="PM87" s="5"/>
      <c r="PN87" s="5"/>
      <c r="PO87" s="5"/>
      <c r="PP87" s="5"/>
      <c r="PQ87" s="5"/>
      <c r="PR87" s="5"/>
      <c r="PS87" s="5"/>
      <c r="PT87" s="5"/>
      <c r="PU87" s="5"/>
      <c r="PV87" s="5"/>
      <c r="PW87" s="5"/>
      <c r="PX87" s="5"/>
      <c r="PY87" s="5"/>
      <c r="PZ87" s="5"/>
      <c r="QA87" s="5"/>
      <c r="QB87" s="5"/>
      <c r="QC87" s="5"/>
      <c r="QD87" s="5"/>
      <c r="QE87" s="5"/>
      <c r="QF87" s="5"/>
      <c r="QG87" s="5"/>
      <c r="QH87" s="5"/>
      <c r="QI87" s="5"/>
      <c r="QJ87" s="5"/>
      <c r="QK87" s="5"/>
      <c r="QL87" s="5"/>
      <c r="QM87" s="5"/>
      <c r="QN87" s="5"/>
      <c r="QO87" s="5"/>
      <c r="QP87" s="5"/>
      <c r="QQ87" s="5"/>
      <c r="QR87" s="5"/>
      <c r="QS87" s="5"/>
      <c r="QT87" s="5"/>
      <c r="QU87" s="5"/>
      <c r="QV87" s="5"/>
      <c r="QW87" s="5"/>
      <c r="QX87" s="5"/>
      <c r="QY87" s="5"/>
      <c r="QZ87" s="5"/>
      <c r="RA87" s="5"/>
      <c r="RB87" s="5"/>
      <c r="RC87" s="5"/>
      <c r="RD87" s="5"/>
      <c r="RE87" s="5"/>
      <c r="RF87" s="5"/>
      <c r="RG87" s="5"/>
      <c r="RH87" s="5"/>
      <c r="RI87" s="5"/>
      <c r="RJ87" s="5"/>
      <c r="RK87" s="5"/>
      <c r="RL87" s="5"/>
      <c r="RM87" s="5"/>
      <c r="RN87" s="5"/>
      <c r="RO87" s="5"/>
    </row>
    <row r="88" spans="1:483" s="4" customFormat="1" ht="15.75" thickBot="1" x14ac:dyDescent="0.3">
      <c r="A88" s="70">
        <v>6</v>
      </c>
      <c r="B88" s="209" t="s">
        <v>820</v>
      </c>
      <c r="C88" s="72" t="s">
        <v>885</v>
      </c>
      <c r="D88" s="72">
        <v>2300</v>
      </c>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t="s">
        <v>835</v>
      </c>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18"/>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19"/>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row>
    <row r="89" spans="1:483" s="4" customFormat="1" ht="15.75" thickBot="1" x14ac:dyDescent="0.3">
      <c r="A89" s="70">
        <v>7</v>
      </c>
      <c r="B89" s="210"/>
      <c r="C89" s="72" t="s">
        <v>886</v>
      </c>
      <c r="D89" s="72">
        <v>138000</v>
      </c>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t="s">
        <v>835</v>
      </c>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18"/>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19"/>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row>
    <row r="90" spans="1:483" s="4" customFormat="1" ht="15.75" thickBot="1" x14ac:dyDescent="0.3">
      <c r="A90" s="70">
        <v>8</v>
      </c>
      <c r="B90" s="209" t="s">
        <v>821</v>
      </c>
      <c r="C90" s="72" t="s">
        <v>885</v>
      </c>
      <c r="D90" s="72">
        <v>8300</v>
      </c>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t="s">
        <v>835</v>
      </c>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c r="JA90" s="5"/>
      <c r="JB90" s="5"/>
      <c r="JC90" s="5"/>
      <c r="JD90" s="5"/>
      <c r="JE90" s="5"/>
      <c r="JF90" s="5"/>
      <c r="JG90" s="5"/>
      <c r="JH90" s="5"/>
      <c r="JI90" s="5"/>
      <c r="JJ90" s="5"/>
      <c r="JK90" s="5"/>
      <c r="JL90" s="5"/>
      <c r="JM90" s="5"/>
      <c r="JN90" s="5"/>
      <c r="JO90" s="5"/>
      <c r="JP90" s="5"/>
      <c r="JQ90" s="5"/>
      <c r="JR90" s="5"/>
      <c r="JS90" s="5"/>
      <c r="JT90" s="5"/>
      <c r="JU90" s="5"/>
      <c r="JV90" s="5"/>
      <c r="JW90" s="5"/>
      <c r="JX90" s="5"/>
      <c r="JY90" s="5"/>
      <c r="JZ90" s="5"/>
      <c r="KA90" s="5"/>
      <c r="KB90" s="5"/>
      <c r="KC90" s="5"/>
      <c r="KD90" s="5"/>
      <c r="KE90" s="5"/>
      <c r="KF90" s="5"/>
      <c r="KG90" s="5"/>
      <c r="KH90" s="5"/>
      <c r="KI90" s="5"/>
      <c r="KJ90" s="5"/>
      <c r="KK90" s="5"/>
      <c r="KL90" s="5"/>
      <c r="KM90" s="5"/>
      <c r="KN90" s="5"/>
      <c r="KO90" s="5"/>
      <c r="KP90" s="5"/>
      <c r="KQ90" s="5"/>
      <c r="KR90" s="5"/>
      <c r="KS90" s="5"/>
      <c r="KT90" s="5"/>
      <c r="KU90" s="5"/>
      <c r="KV90" s="5"/>
      <c r="KW90" s="5"/>
      <c r="KX90" s="5"/>
      <c r="KY90" s="5"/>
      <c r="KZ90" s="5"/>
      <c r="LA90" s="5"/>
      <c r="LB90" s="5"/>
      <c r="LC90" s="18"/>
      <c r="LD90" s="5"/>
      <c r="LE90" s="5"/>
      <c r="LF90" s="5"/>
      <c r="LG90" s="5"/>
      <c r="LH90" s="5"/>
      <c r="LI90" s="5"/>
      <c r="LJ90" s="5"/>
      <c r="LK90" s="5"/>
      <c r="LL90" s="5"/>
      <c r="LM90" s="5"/>
      <c r="LN90" s="5"/>
      <c r="LO90" s="5"/>
      <c r="LP90" s="5"/>
      <c r="LQ90" s="5"/>
      <c r="LR90" s="5"/>
      <c r="LS90" s="5"/>
      <c r="LT90" s="5"/>
      <c r="LU90" s="5"/>
      <c r="LV90" s="5"/>
      <c r="LW90" s="5"/>
      <c r="LX90" s="5"/>
      <c r="LY90" s="5"/>
      <c r="LZ90" s="5"/>
      <c r="MA90" s="5"/>
      <c r="MB90" s="5"/>
      <c r="MC90" s="5"/>
      <c r="MD90" s="5"/>
      <c r="ME90" s="5"/>
      <c r="MF90" s="5"/>
      <c r="MG90" s="5"/>
      <c r="MH90" s="5"/>
      <c r="MI90" s="5"/>
      <c r="MJ90" s="5"/>
      <c r="MK90" s="5"/>
      <c r="ML90" s="5"/>
      <c r="MM90" s="5"/>
      <c r="MN90" s="5"/>
      <c r="MO90" s="5"/>
      <c r="MP90" s="5"/>
      <c r="MQ90" s="5"/>
      <c r="MR90" s="5"/>
      <c r="MS90" s="5"/>
      <c r="MT90" s="5"/>
      <c r="MU90" s="5"/>
      <c r="MV90" s="5"/>
      <c r="MW90" s="5"/>
      <c r="MX90" s="5"/>
      <c r="MY90" s="5"/>
      <c r="MZ90" s="5"/>
      <c r="NA90" s="5"/>
      <c r="NB90" s="5"/>
      <c r="NC90" s="5"/>
      <c r="ND90" s="5"/>
      <c r="NE90" s="5"/>
      <c r="NF90" s="5"/>
      <c r="NG90" s="5"/>
      <c r="NH90" s="5"/>
      <c r="NI90" s="5"/>
      <c r="NJ90" s="5"/>
      <c r="NK90" s="5"/>
      <c r="NL90" s="5"/>
      <c r="NM90" s="5"/>
      <c r="NN90" s="5"/>
      <c r="NO90" s="5"/>
      <c r="NP90" s="5"/>
      <c r="NQ90" s="5"/>
      <c r="NR90" s="5"/>
      <c r="NS90" s="5"/>
      <c r="NT90" s="5"/>
      <c r="NU90" s="5"/>
      <c r="NV90" s="5"/>
      <c r="NW90" s="5"/>
      <c r="NX90" s="5"/>
      <c r="NY90" s="5"/>
      <c r="NZ90" s="5"/>
      <c r="OA90" s="5"/>
      <c r="OB90" s="5"/>
      <c r="OC90" s="5"/>
      <c r="OD90" s="19"/>
      <c r="OE90" s="5"/>
      <c r="OF90" s="5"/>
      <c r="OG90" s="5"/>
      <c r="OH90" s="5"/>
      <c r="OI90" s="5"/>
      <c r="OJ90" s="5"/>
      <c r="OK90" s="5"/>
      <c r="OL90" s="5"/>
      <c r="OM90" s="5"/>
      <c r="ON90" s="5"/>
      <c r="OO90" s="5"/>
      <c r="OP90" s="5"/>
      <c r="OQ90" s="5"/>
      <c r="OR90" s="5"/>
      <c r="OS90" s="5"/>
      <c r="OT90" s="5"/>
      <c r="OU90" s="5"/>
      <c r="OV90" s="5"/>
      <c r="OW90" s="5"/>
      <c r="OX90" s="5"/>
      <c r="OY90" s="5"/>
      <c r="OZ90" s="5"/>
      <c r="PA90" s="5"/>
      <c r="PB90" s="5"/>
      <c r="PC90" s="5"/>
      <c r="PD90" s="5"/>
      <c r="PE90" s="5"/>
      <c r="PF90" s="5"/>
      <c r="PG90" s="5"/>
      <c r="PH90" s="5"/>
      <c r="PI90" s="5"/>
      <c r="PJ90" s="5"/>
      <c r="PK90" s="5"/>
      <c r="PL90" s="5"/>
      <c r="PM90" s="5"/>
      <c r="PN90" s="5"/>
      <c r="PO90" s="5"/>
      <c r="PP90" s="5"/>
      <c r="PQ90" s="5"/>
      <c r="PR90" s="5"/>
      <c r="PS90" s="5"/>
      <c r="PT90" s="5"/>
      <c r="PU90" s="5"/>
      <c r="PV90" s="5"/>
      <c r="PW90" s="5"/>
      <c r="PX90" s="5"/>
      <c r="PY90" s="5"/>
      <c r="PZ90" s="5"/>
      <c r="QA90" s="5"/>
      <c r="QB90" s="5"/>
      <c r="QC90" s="5"/>
      <c r="QD90" s="5"/>
      <c r="QE90" s="5"/>
      <c r="QF90" s="5"/>
      <c r="QG90" s="5"/>
      <c r="QH90" s="5"/>
      <c r="QI90" s="5"/>
      <c r="QJ90" s="5"/>
      <c r="QK90" s="5"/>
      <c r="QL90" s="5"/>
      <c r="QM90" s="5"/>
      <c r="QN90" s="5"/>
      <c r="QO90" s="5"/>
      <c r="QP90" s="5"/>
      <c r="QQ90" s="5"/>
      <c r="QR90" s="5"/>
      <c r="QS90" s="5"/>
      <c r="QT90" s="5"/>
      <c r="QU90" s="5"/>
      <c r="QV90" s="5"/>
      <c r="QW90" s="5"/>
      <c r="QX90" s="5"/>
      <c r="QY90" s="5"/>
      <c r="QZ90" s="5"/>
      <c r="RA90" s="5"/>
      <c r="RB90" s="5"/>
      <c r="RC90" s="5"/>
      <c r="RD90" s="5"/>
      <c r="RE90" s="5"/>
      <c r="RF90" s="5"/>
      <c r="RG90" s="5"/>
      <c r="RH90" s="5"/>
      <c r="RI90" s="5"/>
      <c r="RJ90" s="5"/>
      <c r="RK90" s="5"/>
      <c r="RL90" s="5"/>
      <c r="RM90" s="5"/>
      <c r="RN90" s="5"/>
      <c r="RO90" s="5"/>
    </row>
    <row r="91" spans="1:483" s="4" customFormat="1" ht="15.75" thickBot="1" x14ac:dyDescent="0.3">
      <c r="A91" s="70">
        <v>9</v>
      </c>
      <c r="B91" s="210"/>
      <c r="C91" s="72" t="s">
        <v>886</v>
      </c>
      <c r="D91" s="72">
        <v>25</v>
      </c>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t="s">
        <v>835</v>
      </c>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c r="JA91" s="5"/>
      <c r="JB91" s="5"/>
      <c r="JC91" s="5"/>
      <c r="JD91" s="5"/>
      <c r="JE91" s="5"/>
      <c r="JF91" s="5"/>
      <c r="JG91" s="5"/>
      <c r="JH91" s="5"/>
      <c r="JI91" s="5"/>
      <c r="JJ91" s="5"/>
      <c r="JK91" s="5"/>
      <c r="JL91" s="5"/>
      <c r="JM91" s="5"/>
      <c r="JN91" s="5"/>
      <c r="JO91" s="5"/>
      <c r="JP91" s="5"/>
      <c r="JQ91" s="5"/>
      <c r="JR91" s="5"/>
      <c r="JS91" s="5"/>
      <c r="JT91" s="5"/>
      <c r="JU91" s="5"/>
      <c r="JV91" s="5"/>
      <c r="JW91" s="5"/>
      <c r="JX91" s="5"/>
      <c r="JY91" s="5"/>
      <c r="JZ91" s="5"/>
      <c r="KA91" s="5"/>
      <c r="KB91" s="5"/>
      <c r="KC91" s="5"/>
      <c r="KD91" s="5"/>
      <c r="KE91" s="5"/>
      <c r="KF91" s="5"/>
      <c r="KG91" s="5"/>
      <c r="KH91" s="5"/>
      <c r="KI91" s="5"/>
      <c r="KJ91" s="5"/>
      <c r="KK91" s="5"/>
      <c r="KL91" s="5"/>
      <c r="KM91" s="5"/>
      <c r="KN91" s="5"/>
      <c r="KO91" s="5"/>
      <c r="KP91" s="5"/>
      <c r="KQ91" s="5"/>
      <c r="KR91" s="5"/>
      <c r="KS91" s="5"/>
      <c r="KT91" s="5"/>
      <c r="KU91" s="5"/>
      <c r="KV91" s="5"/>
      <c r="KW91" s="5"/>
      <c r="KX91" s="5"/>
      <c r="KY91" s="5"/>
      <c r="KZ91" s="5"/>
      <c r="LA91" s="5"/>
      <c r="LB91" s="5"/>
      <c r="LC91" s="18"/>
      <c r="LD91" s="5"/>
      <c r="LE91" s="5"/>
      <c r="LF91" s="5"/>
      <c r="LG91" s="5"/>
      <c r="LH91" s="5"/>
      <c r="LI91" s="5"/>
      <c r="LJ91" s="5"/>
      <c r="LK91" s="5"/>
      <c r="LL91" s="5"/>
      <c r="LM91" s="5"/>
      <c r="LN91" s="5"/>
      <c r="LO91" s="5"/>
      <c r="LP91" s="5"/>
      <c r="LQ91" s="5"/>
      <c r="LR91" s="5"/>
      <c r="LS91" s="5"/>
      <c r="LT91" s="5"/>
      <c r="LU91" s="5"/>
      <c r="LV91" s="5"/>
      <c r="LW91" s="5"/>
      <c r="LX91" s="5"/>
      <c r="LY91" s="5"/>
      <c r="LZ91" s="5"/>
      <c r="MA91" s="5"/>
      <c r="MB91" s="5"/>
      <c r="MC91" s="5"/>
      <c r="MD91" s="5"/>
      <c r="ME91" s="5"/>
      <c r="MF91" s="5"/>
      <c r="MG91" s="5"/>
      <c r="MH91" s="5"/>
      <c r="MI91" s="5"/>
      <c r="MJ91" s="5"/>
      <c r="MK91" s="5"/>
      <c r="ML91" s="5"/>
      <c r="MM91" s="5"/>
      <c r="MN91" s="5"/>
      <c r="MO91" s="5"/>
      <c r="MP91" s="5"/>
      <c r="MQ91" s="5"/>
      <c r="MR91" s="5"/>
      <c r="MS91" s="5"/>
      <c r="MT91" s="5"/>
      <c r="MU91" s="5"/>
      <c r="MV91" s="5"/>
      <c r="MW91" s="5"/>
      <c r="MX91" s="5"/>
      <c r="MY91" s="5"/>
      <c r="MZ91" s="5"/>
      <c r="NA91" s="5"/>
      <c r="NB91" s="5"/>
      <c r="NC91" s="5"/>
      <c r="ND91" s="5"/>
      <c r="NE91" s="5"/>
      <c r="NF91" s="5"/>
      <c r="NG91" s="5"/>
      <c r="NH91" s="5"/>
      <c r="NI91" s="5"/>
      <c r="NJ91" s="5"/>
      <c r="NK91" s="5"/>
      <c r="NL91" s="5"/>
      <c r="NM91" s="5"/>
      <c r="NN91" s="5"/>
      <c r="NO91" s="5"/>
      <c r="NP91" s="5"/>
      <c r="NQ91" s="5"/>
      <c r="NR91" s="5"/>
      <c r="NS91" s="5"/>
      <c r="NT91" s="5"/>
      <c r="NU91" s="5"/>
      <c r="NV91" s="5"/>
      <c r="NW91" s="5"/>
      <c r="NX91" s="5"/>
      <c r="NY91" s="5"/>
      <c r="NZ91" s="5"/>
      <c r="OA91" s="5"/>
      <c r="OB91" s="5"/>
      <c r="OC91" s="5"/>
      <c r="OD91" s="19"/>
      <c r="OE91" s="5"/>
      <c r="OF91" s="5"/>
      <c r="OG91" s="5"/>
      <c r="OH91" s="5"/>
      <c r="OI91" s="5"/>
      <c r="OJ91" s="5"/>
      <c r="OK91" s="5"/>
      <c r="OL91" s="5"/>
      <c r="OM91" s="5"/>
      <c r="ON91" s="5"/>
      <c r="OO91" s="5"/>
      <c r="OP91" s="5"/>
      <c r="OQ91" s="5"/>
      <c r="OR91" s="5"/>
      <c r="OS91" s="5"/>
      <c r="OT91" s="5"/>
      <c r="OU91" s="5"/>
      <c r="OV91" s="5"/>
      <c r="OW91" s="5"/>
      <c r="OX91" s="5"/>
      <c r="OY91" s="5"/>
      <c r="OZ91" s="5"/>
      <c r="PA91" s="5"/>
      <c r="PB91" s="5"/>
      <c r="PC91" s="5"/>
      <c r="PD91" s="5"/>
      <c r="PE91" s="5"/>
      <c r="PF91" s="5"/>
      <c r="PG91" s="5"/>
      <c r="PH91" s="5"/>
      <c r="PI91" s="5"/>
      <c r="PJ91" s="5"/>
      <c r="PK91" s="5"/>
      <c r="PL91" s="5"/>
      <c r="PM91" s="5"/>
      <c r="PN91" s="5"/>
      <c r="PO91" s="5"/>
      <c r="PP91" s="5"/>
      <c r="PQ91" s="5"/>
      <c r="PR91" s="5"/>
      <c r="PS91" s="5"/>
      <c r="PT91" s="5"/>
      <c r="PU91" s="5"/>
      <c r="PV91" s="5"/>
      <c r="PW91" s="5"/>
      <c r="PX91" s="5"/>
      <c r="PY91" s="5"/>
      <c r="PZ91" s="5"/>
      <c r="QA91" s="5"/>
      <c r="QB91" s="5"/>
      <c r="QC91" s="5"/>
      <c r="QD91" s="5"/>
      <c r="QE91" s="5"/>
      <c r="QF91" s="5"/>
      <c r="QG91" s="5"/>
      <c r="QH91" s="5"/>
      <c r="QI91" s="5"/>
      <c r="QJ91" s="5"/>
      <c r="QK91" s="5"/>
      <c r="QL91" s="5"/>
      <c r="QM91" s="5"/>
      <c r="QN91" s="5"/>
      <c r="QO91" s="5"/>
      <c r="QP91" s="5"/>
      <c r="QQ91" s="5"/>
      <c r="QR91" s="5"/>
      <c r="QS91" s="5"/>
      <c r="QT91" s="5"/>
      <c r="QU91" s="5"/>
      <c r="QV91" s="5"/>
      <c r="QW91" s="5"/>
      <c r="QX91" s="5"/>
      <c r="QY91" s="5"/>
      <c r="QZ91" s="5"/>
      <c r="RA91" s="5"/>
      <c r="RB91" s="5"/>
      <c r="RC91" s="5"/>
      <c r="RD91" s="5"/>
      <c r="RE91" s="5"/>
      <c r="RF91" s="5"/>
      <c r="RG91" s="5"/>
      <c r="RH91" s="5"/>
      <c r="RI91" s="5"/>
      <c r="RJ91" s="5"/>
      <c r="RK91" s="5"/>
      <c r="RL91" s="5"/>
      <c r="RM91" s="5"/>
      <c r="RN91" s="5"/>
      <c r="RO91" s="5"/>
    </row>
    <row r="92" spans="1:483" s="4" customFormat="1" ht="15.75" thickBot="1" x14ac:dyDescent="0.3">
      <c r="A92" s="70">
        <v>10</v>
      </c>
      <c r="B92" s="78" t="s">
        <v>822</v>
      </c>
      <c r="C92" s="72" t="s">
        <v>885</v>
      </c>
      <c r="D92" s="72">
        <v>17936.2</v>
      </c>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t="s">
        <v>835</v>
      </c>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c r="JA92" s="5"/>
      <c r="JB92" s="5"/>
      <c r="JC92" s="5"/>
      <c r="JD92" s="5"/>
      <c r="JE92" s="5"/>
      <c r="JF92" s="5"/>
      <c r="JG92" s="5"/>
      <c r="JH92" s="5"/>
      <c r="JI92" s="5"/>
      <c r="JJ92" s="5"/>
      <c r="JK92" s="5"/>
      <c r="JL92" s="5"/>
      <c r="JM92" s="5"/>
      <c r="JN92" s="5"/>
      <c r="JO92" s="5"/>
      <c r="JP92" s="5"/>
      <c r="JQ92" s="5"/>
      <c r="JR92" s="5"/>
      <c r="JS92" s="5"/>
      <c r="JT92" s="5"/>
      <c r="JU92" s="5"/>
      <c r="JV92" s="5"/>
      <c r="JW92" s="5"/>
      <c r="JX92" s="5"/>
      <c r="JY92" s="5"/>
      <c r="JZ92" s="5"/>
      <c r="KA92" s="5"/>
      <c r="KB92" s="5"/>
      <c r="KC92" s="5"/>
      <c r="KD92" s="5"/>
      <c r="KE92" s="5"/>
      <c r="KF92" s="5"/>
      <c r="KG92" s="5"/>
      <c r="KH92" s="5"/>
      <c r="KI92" s="5"/>
      <c r="KJ92" s="5"/>
      <c r="KK92" s="5"/>
      <c r="KL92" s="5"/>
      <c r="KM92" s="5"/>
      <c r="KN92" s="5"/>
      <c r="KO92" s="5"/>
      <c r="KP92" s="5"/>
      <c r="KQ92" s="5"/>
      <c r="KR92" s="5"/>
      <c r="KS92" s="5"/>
      <c r="KT92" s="5"/>
      <c r="KU92" s="5"/>
      <c r="KV92" s="5"/>
      <c r="KW92" s="5"/>
      <c r="KX92" s="5"/>
      <c r="KY92" s="5"/>
      <c r="KZ92" s="5"/>
      <c r="LA92" s="5"/>
      <c r="LB92" s="5"/>
      <c r="LC92" s="18"/>
      <c r="LD92" s="5"/>
      <c r="LE92" s="5"/>
      <c r="LF92" s="5"/>
      <c r="LG92" s="5"/>
      <c r="LH92" s="5"/>
      <c r="LI92" s="5"/>
      <c r="LJ92" s="5"/>
      <c r="LK92" s="5"/>
      <c r="LL92" s="5"/>
      <c r="LM92" s="5"/>
      <c r="LN92" s="5"/>
      <c r="LO92" s="5"/>
      <c r="LP92" s="5"/>
      <c r="LQ92" s="5"/>
      <c r="LR92" s="5"/>
      <c r="LS92" s="5"/>
      <c r="LT92" s="5"/>
      <c r="LU92" s="5"/>
      <c r="LV92" s="5"/>
      <c r="LW92" s="5"/>
      <c r="LX92" s="5"/>
      <c r="LY92" s="5"/>
      <c r="LZ92" s="5"/>
      <c r="MA92" s="5"/>
      <c r="MB92" s="5"/>
      <c r="MC92" s="5"/>
      <c r="MD92" s="5"/>
      <c r="ME92" s="5"/>
      <c r="MF92" s="5"/>
      <c r="MG92" s="5"/>
      <c r="MH92" s="5"/>
      <c r="MI92" s="5"/>
      <c r="MJ92" s="5"/>
      <c r="MK92" s="5"/>
      <c r="ML92" s="5"/>
      <c r="MM92" s="5"/>
      <c r="MN92" s="5"/>
      <c r="MO92" s="5"/>
      <c r="MP92" s="5"/>
      <c r="MQ92" s="5"/>
      <c r="MR92" s="5"/>
      <c r="MS92" s="5"/>
      <c r="MT92" s="5"/>
      <c r="MU92" s="5"/>
      <c r="MV92" s="5"/>
      <c r="MW92" s="5"/>
      <c r="MX92" s="5"/>
      <c r="MY92" s="5"/>
      <c r="MZ92" s="5"/>
      <c r="NA92" s="5"/>
      <c r="NB92" s="5"/>
      <c r="NC92" s="5"/>
      <c r="ND92" s="5"/>
      <c r="NE92" s="5"/>
      <c r="NF92" s="5"/>
      <c r="NG92" s="5"/>
      <c r="NH92" s="5"/>
      <c r="NI92" s="5"/>
      <c r="NJ92" s="5"/>
      <c r="NK92" s="5"/>
      <c r="NL92" s="5"/>
      <c r="NM92" s="5"/>
      <c r="NN92" s="5"/>
      <c r="NO92" s="5"/>
      <c r="NP92" s="5"/>
      <c r="NQ92" s="5"/>
      <c r="NR92" s="5"/>
      <c r="NS92" s="5"/>
      <c r="NT92" s="5"/>
      <c r="NU92" s="5"/>
      <c r="NV92" s="5"/>
      <c r="NW92" s="5"/>
      <c r="NX92" s="5"/>
      <c r="NY92" s="5"/>
      <c r="NZ92" s="5"/>
      <c r="OA92" s="5"/>
      <c r="OB92" s="5"/>
      <c r="OC92" s="5"/>
      <c r="OD92" s="19"/>
      <c r="OE92" s="5"/>
      <c r="OF92" s="5"/>
      <c r="OG92" s="5"/>
      <c r="OH92" s="5"/>
      <c r="OI92" s="5"/>
      <c r="OJ92" s="5"/>
      <c r="OK92" s="5"/>
      <c r="OL92" s="5"/>
      <c r="OM92" s="5"/>
      <c r="ON92" s="5"/>
      <c r="OO92" s="5"/>
      <c r="OP92" s="5"/>
      <c r="OQ92" s="5"/>
      <c r="OR92" s="5"/>
      <c r="OS92" s="5"/>
      <c r="OT92" s="5"/>
      <c r="OU92" s="5"/>
      <c r="OV92" s="5"/>
      <c r="OW92" s="5"/>
      <c r="OX92" s="5"/>
      <c r="OY92" s="5"/>
      <c r="OZ92" s="5"/>
      <c r="PA92" s="5"/>
      <c r="PB92" s="5"/>
      <c r="PC92" s="5"/>
      <c r="PD92" s="5"/>
      <c r="PE92" s="5"/>
      <c r="PF92" s="5"/>
      <c r="PG92" s="5"/>
      <c r="PH92" s="5"/>
      <c r="PI92" s="5"/>
      <c r="PJ92" s="5"/>
      <c r="PK92" s="5"/>
      <c r="PL92" s="5"/>
      <c r="PM92" s="5"/>
      <c r="PN92" s="5"/>
      <c r="PO92" s="5"/>
      <c r="PP92" s="5"/>
      <c r="PQ92" s="5"/>
      <c r="PR92" s="5"/>
      <c r="PS92" s="5"/>
      <c r="PT92" s="5"/>
      <c r="PU92" s="5"/>
      <c r="PV92" s="5"/>
      <c r="PW92" s="5"/>
      <c r="PX92" s="5"/>
      <c r="PY92" s="5"/>
      <c r="PZ92" s="5"/>
      <c r="QA92" s="5"/>
      <c r="QB92" s="5"/>
      <c r="QC92" s="5"/>
      <c r="QD92" s="5"/>
      <c r="QE92" s="5"/>
      <c r="QF92" s="5"/>
      <c r="QG92" s="5"/>
      <c r="QH92" s="5"/>
      <c r="QI92" s="5"/>
      <c r="QJ92" s="5"/>
      <c r="QK92" s="5"/>
      <c r="QL92" s="5"/>
      <c r="QM92" s="5"/>
      <c r="QN92" s="5"/>
      <c r="QO92" s="5"/>
      <c r="QP92" s="5"/>
      <c r="QQ92" s="5"/>
      <c r="QR92" s="5"/>
      <c r="QS92" s="5"/>
      <c r="QT92" s="5"/>
      <c r="QU92" s="5"/>
      <c r="QV92" s="5"/>
      <c r="QW92" s="5"/>
      <c r="QX92" s="5"/>
      <c r="QY92" s="5"/>
      <c r="QZ92" s="5"/>
      <c r="RA92" s="5"/>
      <c r="RB92" s="5"/>
      <c r="RC92" s="5"/>
      <c r="RD92" s="5"/>
      <c r="RE92" s="5"/>
      <c r="RF92" s="5"/>
      <c r="RG92" s="5"/>
      <c r="RH92" s="5"/>
      <c r="RI92" s="5"/>
      <c r="RJ92" s="5"/>
      <c r="RK92" s="5"/>
      <c r="RL92" s="5"/>
      <c r="RM92" s="5"/>
      <c r="RN92" s="5"/>
      <c r="RO92" s="5"/>
    </row>
    <row r="93" spans="1:483" s="4" customFormat="1" ht="15.75" thickBot="1" x14ac:dyDescent="0.3">
      <c r="A93" s="70">
        <v>11</v>
      </c>
      <c r="B93" s="71"/>
      <c r="C93" s="72" t="s">
        <v>886</v>
      </c>
      <c r="D93" s="72">
        <v>0</v>
      </c>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t="s">
        <v>835</v>
      </c>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c r="IW93" s="5"/>
      <c r="IX93" s="5"/>
      <c r="IY93" s="5"/>
      <c r="IZ93" s="5"/>
      <c r="JA93" s="5"/>
      <c r="JB93" s="5"/>
      <c r="JC93" s="5"/>
      <c r="JD93" s="5"/>
      <c r="JE93" s="5"/>
      <c r="JF93" s="5"/>
      <c r="JG93" s="5"/>
      <c r="JH93" s="5"/>
      <c r="JI93" s="5"/>
      <c r="JJ93" s="5"/>
      <c r="JK93" s="5"/>
      <c r="JL93" s="5"/>
      <c r="JM93" s="5"/>
      <c r="JN93" s="5"/>
      <c r="JO93" s="5"/>
      <c r="JP93" s="5"/>
      <c r="JQ93" s="5"/>
      <c r="JR93" s="5"/>
      <c r="JS93" s="5"/>
      <c r="JT93" s="5"/>
      <c r="JU93" s="5"/>
      <c r="JV93" s="5"/>
      <c r="JW93" s="5"/>
      <c r="JX93" s="5"/>
      <c r="JY93" s="5"/>
      <c r="JZ93" s="5"/>
      <c r="KA93" s="5"/>
      <c r="KB93" s="5"/>
      <c r="KC93" s="5"/>
      <c r="KD93" s="5"/>
      <c r="KE93" s="5"/>
      <c r="KF93" s="5"/>
      <c r="KG93" s="5"/>
      <c r="KH93" s="5"/>
      <c r="KI93" s="5"/>
      <c r="KJ93" s="5"/>
      <c r="KK93" s="5"/>
      <c r="KL93" s="5"/>
      <c r="KM93" s="5"/>
      <c r="KN93" s="5"/>
      <c r="KO93" s="5"/>
      <c r="KP93" s="5"/>
      <c r="KQ93" s="5"/>
      <c r="KR93" s="5"/>
      <c r="KS93" s="5"/>
      <c r="KT93" s="5"/>
      <c r="KU93" s="5"/>
      <c r="KV93" s="5"/>
      <c r="KW93" s="5"/>
      <c r="KX93" s="5"/>
      <c r="KY93" s="5"/>
      <c r="KZ93" s="5"/>
      <c r="LA93" s="5"/>
      <c r="LB93" s="5"/>
      <c r="LC93" s="18"/>
      <c r="LD93" s="5"/>
      <c r="LE93" s="5"/>
      <c r="LF93" s="5"/>
      <c r="LG93" s="5"/>
      <c r="LH93" s="5"/>
      <c r="LI93" s="5"/>
      <c r="LJ93" s="5"/>
      <c r="LK93" s="5"/>
      <c r="LL93" s="5"/>
      <c r="LM93" s="5"/>
      <c r="LN93" s="5"/>
      <c r="LO93" s="5"/>
      <c r="LP93" s="5"/>
      <c r="LQ93" s="5"/>
      <c r="LR93" s="5"/>
      <c r="LS93" s="5"/>
      <c r="LT93" s="5"/>
      <c r="LU93" s="5"/>
      <c r="LV93" s="5"/>
      <c r="LW93" s="5"/>
      <c r="LX93" s="5"/>
      <c r="LY93" s="5"/>
      <c r="LZ93" s="5"/>
      <c r="MA93" s="5"/>
      <c r="MB93" s="5"/>
      <c r="MC93" s="5"/>
      <c r="MD93" s="5"/>
      <c r="ME93" s="5"/>
      <c r="MF93" s="5"/>
      <c r="MG93" s="5"/>
      <c r="MH93" s="5"/>
      <c r="MI93" s="5"/>
      <c r="MJ93" s="5"/>
      <c r="MK93" s="5"/>
      <c r="ML93" s="5"/>
      <c r="MM93" s="5"/>
      <c r="MN93" s="5"/>
      <c r="MO93" s="5"/>
      <c r="MP93" s="5"/>
      <c r="MQ93" s="5"/>
      <c r="MR93" s="5"/>
      <c r="MS93" s="5"/>
      <c r="MT93" s="5"/>
      <c r="MU93" s="5"/>
      <c r="MV93" s="5"/>
      <c r="MW93" s="5"/>
      <c r="MX93" s="5"/>
      <c r="MY93" s="5"/>
      <c r="MZ93" s="5"/>
      <c r="NA93" s="5"/>
      <c r="NB93" s="5"/>
      <c r="NC93" s="5"/>
      <c r="ND93" s="5"/>
      <c r="NE93" s="5"/>
      <c r="NF93" s="5"/>
      <c r="NG93" s="5"/>
      <c r="NH93" s="5"/>
      <c r="NI93" s="5"/>
      <c r="NJ93" s="5"/>
      <c r="NK93" s="5"/>
      <c r="NL93" s="5"/>
      <c r="NM93" s="5"/>
      <c r="NN93" s="5"/>
      <c r="NO93" s="5"/>
      <c r="NP93" s="5"/>
      <c r="NQ93" s="5"/>
      <c r="NR93" s="5"/>
      <c r="NS93" s="5"/>
      <c r="NT93" s="5"/>
      <c r="NU93" s="5"/>
      <c r="NV93" s="5"/>
      <c r="NW93" s="5"/>
      <c r="NX93" s="5"/>
      <c r="NY93" s="5"/>
      <c r="NZ93" s="5"/>
      <c r="OA93" s="5"/>
      <c r="OB93" s="5"/>
      <c r="OC93" s="5"/>
      <c r="OD93" s="19"/>
      <c r="OE93" s="5"/>
      <c r="OF93" s="5"/>
      <c r="OG93" s="5"/>
      <c r="OH93" s="5"/>
      <c r="OI93" s="5"/>
      <c r="OJ93" s="5"/>
      <c r="OK93" s="5"/>
      <c r="OL93" s="5"/>
      <c r="OM93" s="5"/>
      <c r="ON93" s="5"/>
      <c r="OO93" s="5"/>
      <c r="OP93" s="5"/>
      <c r="OQ93" s="5"/>
      <c r="OR93" s="5"/>
      <c r="OS93" s="5"/>
      <c r="OT93" s="5"/>
      <c r="OU93" s="5"/>
      <c r="OV93" s="5"/>
      <c r="OW93" s="5"/>
      <c r="OX93" s="5"/>
      <c r="OY93" s="5"/>
      <c r="OZ93" s="5"/>
      <c r="PA93" s="5"/>
      <c r="PB93" s="5"/>
      <c r="PC93" s="5"/>
      <c r="PD93" s="5"/>
      <c r="PE93" s="5"/>
      <c r="PF93" s="5"/>
      <c r="PG93" s="5"/>
      <c r="PH93" s="5"/>
      <c r="PI93" s="5"/>
      <c r="PJ93" s="5"/>
      <c r="PK93" s="5"/>
      <c r="PL93" s="5"/>
      <c r="PM93" s="5"/>
      <c r="PN93" s="5"/>
      <c r="PO93" s="5"/>
      <c r="PP93" s="5"/>
      <c r="PQ93" s="5"/>
      <c r="PR93" s="5"/>
      <c r="PS93" s="5"/>
      <c r="PT93" s="5"/>
      <c r="PU93" s="5"/>
      <c r="PV93" s="5"/>
      <c r="PW93" s="5"/>
      <c r="PX93" s="5"/>
      <c r="PY93" s="5"/>
      <c r="PZ93" s="5"/>
      <c r="QA93" s="5"/>
      <c r="QB93" s="5"/>
      <c r="QC93" s="5"/>
      <c r="QD93" s="5"/>
      <c r="QE93" s="5"/>
      <c r="QF93" s="5"/>
      <c r="QG93" s="5"/>
      <c r="QH93" s="5"/>
      <c r="QI93" s="5"/>
      <c r="QJ93" s="5"/>
      <c r="QK93" s="5"/>
      <c r="QL93" s="5"/>
      <c r="QM93" s="5"/>
      <c r="QN93" s="5"/>
      <c r="QO93" s="5"/>
      <c r="QP93" s="5"/>
      <c r="QQ93" s="5"/>
      <c r="QR93" s="5"/>
      <c r="QS93" s="5"/>
      <c r="QT93" s="5"/>
      <c r="QU93" s="5"/>
      <c r="QV93" s="5"/>
      <c r="QW93" s="5"/>
      <c r="QX93" s="5"/>
      <c r="QY93" s="5"/>
      <c r="QZ93" s="5"/>
      <c r="RA93" s="5"/>
      <c r="RB93" s="5"/>
      <c r="RC93" s="5"/>
      <c r="RD93" s="5"/>
      <c r="RE93" s="5"/>
      <c r="RF93" s="5"/>
      <c r="RG93" s="5"/>
      <c r="RH93" s="5"/>
      <c r="RI93" s="5"/>
      <c r="RJ93" s="5"/>
      <c r="RK93" s="5"/>
      <c r="RL93" s="5"/>
      <c r="RM93" s="5"/>
      <c r="RN93" s="5"/>
      <c r="RO93" s="5"/>
    </row>
    <row r="94" spans="1:483" s="4" customFormat="1" ht="15.75" thickBot="1" x14ac:dyDescent="0.3">
      <c r="A94" s="70">
        <v>12</v>
      </c>
      <c r="B94" s="190" t="s">
        <v>895</v>
      </c>
      <c r="C94" s="191"/>
      <c r="D94" s="72">
        <v>0</v>
      </c>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t="s">
        <v>835</v>
      </c>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18"/>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19"/>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row>
    <row r="95" spans="1:483" s="4" customFormat="1" ht="15" x14ac:dyDescent="0.25">
      <c r="A95" s="67"/>
      <c r="B95" s="76"/>
      <c r="C95" s="76"/>
      <c r="D95" s="76"/>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t="s">
        <v>902</v>
      </c>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row>
    <row r="96" spans="1:483" s="4" customFormat="1" ht="15" x14ac:dyDescent="0.25">
      <c r="A96" s="67"/>
      <c r="B96" s="67"/>
      <c r="C96" s="80"/>
      <c r="D96" s="67"/>
      <c r="E96" s="80"/>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t="s">
        <v>902</v>
      </c>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row>
    <row r="97" spans="1:483" s="4" customFormat="1" ht="15" x14ac:dyDescent="0.25">
      <c r="A97" s="67"/>
      <c r="B97" s="67"/>
      <c r="C97" s="67" t="s">
        <v>903</v>
      </c>
      <c r="D97" s="80"/>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t="s">
        <v>902</v>
      </c>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row>
    <row r="98" spans="1:483" s="4" customFormat="1" ht="15" x14ac:dyDescent="0.25">
      <c r="A98" s="67"/>
      <c r="B98" s="67"/>
      <c r="C98" s="67" t="s">
        <v>904</v>
      </c>
      <c r="D98" s="67" t="s">
        <v>905</v>
      </c>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t="s">
        <v>902</v>
      </c>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row>
    <row r="99" spans="1:483" s="4" customFormat="1" ht="15" x14ac:dyDescent="0.2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t="s">
        <v>902</v>
      </c>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row>
    <row r="100" spans="1:483" ht="15" x14ac:dyDescent="0.25">
      <c r="A100" s="67"/>
      <c r="B100" s="67"/>
      <c r="C100" s="67" t="s">
        <v>906</v>
      </c>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t="s">
        <v>902</v>
      </c>
    </row>
    <row r="101" spans="1:483" ht="15" x14ac:dyDescent="0.25">
      <c r="A101" s="67"/>
      <c r="B101" s="67"/>
      <c r="C101" s="67" t="s">
        <v>907</v>
      </c>
      <c r="D101" s="67" t="s">
        <v>908</v>
      </c>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t="s">
        <v>902</v>
      </c>
    </row>
    <row r="102" spans="1:483" ht="15" x14ac:dyDescent="0.2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t="s">
        <v>902</v>
      </c>
    </row>
    <row r="103" spans="1:483" ht="15" x14ac:dyDescent="0.25">
      <c r="A103" s="67"/>
      <c r="B103" s="67"/>
      <c r="C103" s="67" t="s">
        <v>906</v>
      </c>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t="s">
        <v>902</v>
      </c>
    </row>
    <row r="104" spans="1:483" ht="15" x14ac:dyDescent="0.25">
      <c r="A104" s="67"/>
      <c r="B104" s="67"/>
      <c r="C104" s="67" t="s">
        <v>909</v>
      </c>
      <c r="D104" s="67" t="s">
        <v>910</v>
      </c>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t="s">
        <v>902</v>
      </c>
    </row>
    <row r="105" spans="1:483" ht="15" x14ac:dyDescent="0.2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t="s">
        <v>902</v>
      </c>
    </row>
    <row r="106" spans="1:483" ht="15" x14ac:dyDescent="0.25">
      <c r="A106" s="67"/>
      <c r="B106" s="67"/>
      <c r="C106" s="69" t="s">
        <v>911</v>
      </c>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t="s">
        <v>902</v>
      </c>
    </row>
    <row r="107" spans="1:483" ht="15"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row>
    <row r="108" spans="1:483" ht="15"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row>
  </sheetData>
  <mergeCells count="78">
    <mergeCell ref="B94:C94"/>
    <mergeCell ref="B84:C84"/>
    <mergeCell ref="B85:C85"/>
    <mergeCell ref="B86:C86"/>
    <mergeCell ref="B87:C87"/>
    <mergeCell ref="B88:B89"/>
    <mergeCell ref="B90:B91"/>
    <mergeCell ref="B83:C83"/>
    <mergeCell ref="B64:C64"/>
    <mergeCell ref="B65:C65"/>
    <mergeCell ref="B67:C67"/>
    <mergeCell ref="B68:C68"/>
    <mergeCell ref="A70:C70"/>
    <mergeCell ref="B72:C72"/>
    <mergeCell ref="A73:C73"/>
    <mergeCell ref="B74:B75"/>
    <mergeCell ref="B76:B77"/>
    <mergeCell ref="B78:B79"/>
    <mergeCell ref="B80:B81"/>
    <mergeCell ref="A66:B66"/>
    <mergeCell ref="A82:B82"/>
    <mergeCell ref="A63:C63"/>
    <mergeCell ref="A51:C51"/>
    <mergeCell ref="B53:C53"/>
    <mergeCell ref="B54:C54"/>
    <mergeCell ref="A55:C55"/>
    <mergeCell ref="B56:C56"/>
    <mergeCell ref="B57:C57"/>
    <mergeCell ref="B58:C58"/>
    <mergeCell ref="B59:C59"/>
    <mergeCell ref="B60:C60"/>
    <mergeCell ref="B61:C61"/>
    <mergeCell ref="B62:C62"/>
    <mergeCell ref="A50:C50"/>
    <mergeCell ref="B36:C36"/>
    <mergeCell ref="B37:C37"/>
    <mergeCell ref="B39:C39"/>
    <mergeCell ref="B40:C40"/>
    <mergeCell ref="B41:C41"/>
    <mergeCell ref="B42:C42"/>
    <mergeCell ref="B44:C44"/>
    <mergeCell ref="B46:C46"/>
    <mergeCell ref="B47:C47"/>
    <mergeCell ref="A48:C48"/>
    <mergeCell ref="B49:C49"/>
    <mergeCell ref="B35:C35"/>
    <mergeCell ref="B24:C24"/>
    <mergeCell ref="B25:C25"/>
    <mergeCell ref="B26:C26"/>
    <mergeCell ref="B27:C27"/>
    <mergeCell ref="A28:C28"/>
    <mergeCell ref="B29:C29"/>
    <mergeCell ref="B30:C30"/>
    <mergeCell ref="B31:C31"/>
    <mergeCell ref="B32:C32"/>
    <mergeCell ref="B33:C33"/>
    <mergeCell ref="B34:C34"/>
    <mergeCell ref="B23:C23"/>
    <mergeCell ref="B12:C12"/>
    <mergeCell ref="A13:C13"/>
    <mergeCell ref="A14:C14"/>
    <mergeCell ref="B15:C15"/>
    <mergeCell ref="B16:C16"/>
    <mergeCell ref="B17:C17"/>
    <mergeCell ref="B18:C18"/>
    <mergeCell ref="B19:C19"/>
    <mergeCell ref="B20:C20"/>
    <mergeCell ref="B21:C21"/>
    <mergeCell ref="B22:C22"/>
    <mergeCell ref="A5:A11"/>
    <mergeCell ref="B5:C5"/>
    <mergeCell ref="B6:C6"/>
    <mergeCell ref="D6:D11"/>
    <mergeCell ref="B7:C7"/>
    <mergeCell ref="B8:C8"/>
    <mergeCell ref="B9:C9"/>
    <mergeCell ref="B10:C10"/>
    <mergeCell ref="B11:C11"/>
  </mergeCells>
  <pageMargins left="0.7" right="0.7" top="0.75" bottom="0.75" header="0.3" footer="0.3"/>
  <pageSetup paperSize="9" scale="96" orientation="portrait" r:id="rId1"/>
  <rowBreaks count="2" manualBreakCount="2">
    <brk id="45" max="3" man="1"/>
    <brk id="94" max="16383" man="1"/>
  </rowBreaks>
  <colBreaks count="1" manualBreakCount="1">
    <brk id="4" max="9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Нэгтгэл</vt:lpstr>
      <vt:lpstr>Sheet1!Print_Area</vt:lpstr>
      <vt:lpstr>Нэгтгэл!Print_Area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Enkhtuya.Da</dc:creator>
  <cp:lastModifiedBy>user</cp:lastModifiedBy>
  <cp:lastPrinted>2011-10-06T14:39:18Z</cp:lastPrinted>
  <dcterms:created xsi:type="dcterms:W3CDTF">2011-06-16T08:16:47Z</dcterms:created>
  <dcterms:modified xsi:type="dcterms:W3CDTF">2014-04-16T09:14:23Z</dcterms:modified>
</cp:coreProperties>
</file>