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60" yWindow="2370" windowWidth="11460" windowHeight="8190"/>
  </bookViews>
  <sheets>
    <sheet name="sent to the TF" sheetId="25" r:id="rId1"/>
  </sheets>
  <calcPr calcId="145621"/>
</workbook>
</file>

<file path=xl/calcChain.xml><?xml version="1.0" encoding="utf-8"?>
<calcChain xmlns="http://schemas.openxmlformats.org/spreadsheetml/2006/main">
  <c r="C52" i="25" l="1"/>
  <c r="C51" i="25"/>
  <c r="C49" i="25"/>
  <c r="C47" i="25" s="1"/>
  <c r="C48" i="25"/>
  <c r="C54" i="25" s="1"/>
  <c r="C46" i="25"/>
  <c r="C45" i="25"/>
  <c r="C44" i="25"/>
  <c r="C43" i="25"/>
  <c r="C42" i="25"/>
  <c r="C40" i="25"/>
  <c r="C39" i="25"/>
  <c r="C37" i="25"/>
  <c r="C36" i="25"/>
  <c r="C34" i="25"/>
  <c r="C33" i="25"/>
  <c r="C32" i="25"/>
  <c r="C30" i="25"/>
  <c r="C29" i="25"/>
  <c r="C28" i="25"/>
  <c r="C27" i="25"/>
  <c r="C26" i="25"/>
  <c r="C25" i="25"/>
  <c r="C24" i="25"/>
  <c r="C23" i="25"/>
  <c r="C22" i="25"/>
  <c r="C21" i="25"/>
  <c r="C19" i="25"/>
  <c r="C18" i="25"/>
  <c r="C17" i="25"/>
  <c r="C16" i="25"/>
  <c r="C15" i="25"/>
  <c r="C14" i="25"/>
  <c r="C13" i="25"/>
  <c r="C12" i="25"/>
  <c r="C11" i="25"/>
  <c r="GE52" i="25"/>
  <c r="GD52" i="25"/>
  <c r="GC52" i="25"/>
  <c r="GB52" i="25"/>
  <c r="GA52" i="25"/>
  <c r="FZ52" i="25"/>
  <c r="FY52" i="25"/>
  <c r="FX52" i="25"/>
  <c r="FW52" i="25"/>
  <c r="FV52" i="25"/>
  <c r="FU52" i="25"/>
  <c r="FT52" i="25"/>
  <c r="FS52" i="25"/>
  <c r="FR52" i="25"/>
  <c r="FQ52" i="25"/>
  <c r="FP52" i="25"/>
  <c r="FO52" i="25"/>
  <c r="FN52" i="25"/>
  <c r="FM52" i="25"/>
  <c r="FL52" i="25"/>
  <c r="FK52" i="25"/>
  <c r="FJ52" i="25"/>
  <c r="FI52" i="25"/>
  <c r="FH52" i="25"/>
  <c r="FG52" i="25"/>
  <c r="FF52" i="25"/>
  <c r="FE52" i="25"/>
  <c r="FD52" i="25"/>
  <c r="FC52" i="25"/>
  <c r="FB52" i="25"/>
  <c r="FA52" i="25"/>
  <c r="EZ52" i="25"/>
  <c r="EY52" i="25"/>
  <c r="EX52" i="25"/>
  <c r="EW52" i="25"/>
  <c r="EV52" i="25"/>
  <c r="EU52" i="25"/>
  <c r="ET52" i="25"/>
  <c r="ES52" i="25"/>
  <c r="ER52" i="25"/>
  <c r="EQ52" i="25"/>
  <c r="EP52" i="25"/>
  <c r="EO52" i="25"/>
  <c r="EN52" i="25"/>
  <c r="EM52" i="25"/>
  <c r="EL52" i="25"/>
  <c r="EK52" i="25"/>
  <c r="EJ52" i="25"/>
  <c r="EI52" i="25"/>
  <c r="EH52" i="25"/>
  <c r="EG52" i="25"/>
  <c r="EF52" i="25"/>
  <c r="EE52" i="25"/>
  <c r="ED52" i="25"/>
  <c r="EC52" i="25"/>
  <c r="EB52" i="25"/>
  <c r="EA52" i="25"/>
  <c r="DZ52" i="25"/>
  <c r="DY52" i="25"/>
  <c r="DX52" i="25"/>
  <c r="DW52" i="25"/>
  <c r="DV52" i="25"/>
  <c r="DU52" i="25"/>
  <c r="DT52" i="25"/>
  <c r="DS52" i="25"/>
  <c r="DR52" i="25"/>
  <c r="DQ52" i="25"/>
  <c r="DP52" i="25"/>
  <c r="DO52" i="25"/>
  <c r="DN52" i="25"/>
  <c r="DM52" i="25"/>
  <c r="DL52" i="25"/>
  <c r="DK52" i="25"/>
  <c r="DJ52" i="25"/>
  <c r="DI52" i="25"/>
  <c r="DH52" i="25"/>
  <c r="DG52" i="25"/>
  <c r="DF52" i="25"/>
  <c r="DE52" i="25"/>
  <c r="DD52" i="25"/>
  <c r="DC52" i="25"/>
  <c r="DB52" i="25"/>
  <c r="DA52" i="25"/>
  <c r="CZ52" i="25"/>
  <c r="CY52" i="25"/>
  <c r="CX52" i="25"/>
  <c r="CW52" i="25"/>
  <c r="CV52" i="25"/>
  <c r="CU52" i="25"/>
  <c r="CT52" i="25"/>
  <c r="CS52" i="25"/>
  <c r="CR52" i="25"/>
  <c r="CQ52" i="25"/>
  <c r="CP52" i="25"/>
  <c r="CO52" i="25"/>
  <c r="CN52" i="25"/>
  <c r="CM52" i="25"/>
  <c r="CL52" i="25"/>
  <c r="CK52" i="25"/>
  <c r="CJ52" i="25"/>
  <c r="CI52" i="25"/>
  <c r="CH52" i="25"/>
  <c r="CG52" i="25"/>
  <c r="CF52" i="25"/>
  <c r="CE52" i="25"/>
  <c r="CD52" i="25"/>
  <c r="CC52" i="25"/>
  <c r="CB52" i="25"/>
  <c r="CA52" i="25"/>
  <c r="BZ52" i="25"/>
  <c r="BY52" i="25"/>
  <c r="BX52" i="25"/>
  <c r="BW52" i="25"/>
  <c r="BV52" i="25"/>
  <c r="BU52" i="25"/>
  <c r="BT52" i="25"/>
  <c r="BS52" i="25"/>
  <c r="BR52" i="25"/>
  <c r="BQ52" i="25"/>
  <c r="BP52" i="25"/>
  <c r="BO52" i="25"/>
  <c r="BN52" i="25"/>
  <c r="BM52" i="25"/>
  <c r="BL52" i="25"/>
  <c r="BK52" i="25"/>
  <c r="BJ52" i="25"/>
  <c r="BI52" i="25"/>
  <c r="BH52" i="25"/>
  <c r="BG52" i="25"/>
  <c r="BF52" i="25"/>
  <c r="BE52" i="25"/>
  <c r="BD52" i="25"/>
  <c r="BC52" i="25"/>
  <c r="BB52" i="25"/>
  <c r="BA52" i="25"/>
  <c r="AZ52" i="25"/>
  <c r="AY52" i="25"/>
  <c r="AX52" i="25"/>
  <c r="AW52" i="25"/>
  <c r="AV52" i="25"/>
  <c r="AU52" i="25"/>
  <c r="AT52" i="25"/>
  <c r="AS52" i="25"/>
  <c r="AR52" i="25"/>
  <c r="AQ52" i="25"/>
  <c r="AP52" i="25"/>
  <c r="AO52" i="25"/>
  <c r="AN52" i="25"/>
  <c r="AM52" i="25"/>
  <c r="AL52" i="25"/>
  <c r="AK52" i="25"/>
  <c r="AJ52" i="25"/>
  <c r="AI52" i="25"/>
  <c r="AH52" i="25"/>
  <c r="AG52" i="25"/>
  <c r="AF52" i="25"/>
  <c r="AE52" i="25"/>
  <c r="AD52" i="25"/>
  <c r="AC52" i="25"/>
  <c r="AB52" i="25"/>
  <c r="AA52" i="25"/>
  <c r="Z52" i="25"/>
  <c r="Y52" i="25"/>
  <c r="X52" i="25"/>
  <c r="W52" i="25"/>
  <c r="V52" i="25"/>
  <c r="U52" i="25"/>
  <c r="T52" i="25"/>
  <c r="S52" i="25"/>
  <c r="R52" i="25"/>
  <c r="Q52" i="25"/>
  <c r="P52" i="25"/>
  <c r="O52" i="25"/>
  <c r="N52" i="25"/>
  <c r="M52" i="25"/>
  <c r="L52" i="25"/>
  <c r="K52" i="25"/>
  <c r="J52" i="25"/>
  <c r="I52" i="25"/>
  <c r="H52" i="25"/>
  <c r="G52" i="25"/>
  <c r="F52" i="25"/>
  <c r="E52" i="25"/>
  <c r="D52" i="25"/>
  <c r="GE48" i="25"/>
  <c r="GD48" i="25"/>
  <c r="GC48" i="25"/>
  <c r="GB48" i="25"/>
  <c r="GA48" i="25"/>
  <c r="FZ48" i="25"/>
  <c r="FY48" i="25"/>
  <c r="FX48" i="25"/>
  <c r="FW48" i="25"/>
  <c r="FV48" i="25"/>
  <c r="FU48" i="25"/>
  <c r="FT48" i="25"/>
  <c r="FS48" i="25"/>
  <c r="FR48" i="25"/>
  <c r="FQ48" i="25"/>
  <c r="FP48" i="25"/>
  <c r="FO48" i="25"/>
  <c r="FN48" i="25"/>
  <c r="FM48" i="25"/>
  <c r="FL48" i="25"/>
  <c r="FK48" i="25"/>
  <c r="FJ48" i="25"/>
  <c r="FI48" i="25"/>
  <c r="FH48" i="25"/>
  <c r="FG48" i="25"/>
  <c r="FF48" i="25"/>
  <c r="FE48" i="25"/>
  <c r="FD48" i="25"/>
  <c r="FC48" i="25"/>
  <c r="FB48" i="25"/>
  <c r="FA48" i="25"/>
  <c r="EZ48" i="25"/>
  <c r="EY48" i="25"/>
  <c r="EX48" i="25"/>
  <c r="EW48" i="25"/>
  <c r="EV48" i="25"/>
  <c r="EU48" i="25"/>
  <c r="ET48" i="25"/>
  <c r="ES48" i="25"/>
  <c r="ER48" i="25"/>
  <c r="EQ48" i="25"/>
  <c r="EP48" i="25"/>
  <c r="EO48" i="25"/>
  <c r="EN48" i="25"/>
  <c r="EM48" i="25"/>
  <c r="EL48" i="25"/>
  <c r="EK48" i="25"/>
  <c r="EJ48" i="25"/>
  <c r="EI48" i="25"/>
  <c r="EH48" i="25"/>
  <c r="EG48" i="25"/>
  <c r="EF48" i="25"/>
  <c r="EE48" i="25"/>
  <c r="ED48" i="25"/>
  <c r="EC48" i="25"/>
  <c r="EB48" i="25"/>
  <c r="EA48" i="25"/>
  <c r="DZ48" i="25"/>
  <c r="DY48" i="25"/>
  <c r="DX48" i="25"/>
  <c r="DW48" i="25"/>
  <c r="DV48" i="25"/>
  <c r="DU48" i="25"/>
  <c r="DT48" i="25"/>
  <c r="DS48" i="25"/>
  <c r="DR48" i="25"/>
  <c r="DQ48" i="25"/>
  <c r="DP48" i="25"/>
  <c r="DO48" i="25"/>
  <c r="DN48" i="25"/>
  <c r="DM48" i="25"/>
  <c r="DL48" i="25"/>
  <c r="DK48" i="25"/>
  <c r="DJ48" i="25"/>
  <c r="DI48" i="25"/>
  <c r="DH48" i="25"/>
  <c r="DG48" i="25"/>
  <c r="DF48" i="25"/>
  <c r="DE48" i="25"/>
  <c r="DD48" i="25"/>
  <c r="DC48" i="25"/>
  <c r="DB48" i="25"/>
  <c r="DA48" i="25"/>
  <c r="CZ48" i="25"/>
  <c r="CY48" i="25"/>
  <c r="CX48" i="25"/>
  <c r="CW48" i="25"/>
  <c r="CV48" i="25"/>
  <c r="CU48" i="25"/>
  <c r="CT48" i="25"/>
  <c r="CS48" i="25"/>
  <c r="CR48" i="25"/>
  <c r="CQ48" i="25"/>
  <c r="CP48" i="25"/>
  <c r="CO48" i="25"/>
  <c r="CN48" i="25"/>
  <c r="CM48" i="25"/>
  <c r="CL48" i="25"/>
  <c r="CK48" i="25"/>
  <c r="CJ48" i="25"/>
  <c r="CI48" i="25"/>
  <c r="CH48" i="25"/>
  <c r="CG48" i="25"/>
  <c r="CF48" i="25"/>
  <c r="CE48" i="25"/>
  <c r="CD48" i="25"/>
  <c r="CC48" i="25"/>
  <c r="CB48" i="25"/>
  <c r="CA48" i="25"/>
  <c r="BZ48" i="25"/>
  <c r="BY48" i="25"/>
  <c r="BX48" i="25"/>
  <c r="BW48" i="25"/>
  <c r="BV48" i="25"/>
  <c r="BU48" i="25"/>
  <c r="BT48" i="25"/>
  <c r="BS48" i="25"/>
  <c r="BR48" i="25"/>
  <c r="BQ48" i="25"/>
  <c r="BP48" i="25"/>
  <c r="BO48" i="25"/>
  <c r="BN48" i="25"/>
  <c r="BM48" i="25"/>
  <c r="BL48" i="25"/>
  <c r="BK48" i="25"/>
  <c r="BJ48" i="25"/>
  <c r="BI48" i="25"/>
  <c r="BH48" i="25"/>
  <c r="BG48" i="25"/>
  <c r="BF48" i="25"/>
  <c r="BE48" i="25"/>
  <c r="BD48" i="25"/>
  <c r="BC48" i="25"/>
  <c r="BB48" i="25"/>
  <c r="BA48" i="25"/>
  <c r="AZ48" i="25"/>
  <c r="AY48" i="25"/>
  <c r="AX48" i="25"/>
  <c r="AW48" i="25"/>
  <c r="AV48" i="25"/>
  <c r="AU48" i="25"/>
  <c r="AT48" i="25"/>
  <c r="AS48" i="25"/>
  <c r="AR48" i="25"/>
  <c r="AQ48" i="25"/>
  <c r="AP48" i="25"/>
  <c r="AO48" i="25"/>
  <c r="AN48" i="25"/>
  <c r="AM48" i="25"/>
  <c r="AL48" i="25"/>
  <c r="AK48" i="25"/>
  <c r="AJ48" i="25"/>
  <c r="AI48" i="25"/>
  <c r="AH48" i="25"/>
  <c r="AG48" i="25"/>
  <c r="AF48" i="25"/>
  <c r="AE48" i="25"/>
  <c r="AD48" i="25"/>
  <c r="AC48" i="25"/>
  <c r="AB48" i="25"/>
  <c r="AA48" i="25"/>
  <c r="Z48" i="25"/>
  <c r="Y48" i="25"/>
  <c r="X48" i="25"/>
  <c r="W48" i="25"/>
  <c r="V48" i="25"/>
  <c r="U48" i="25"/>
  <c r="T48" i="25"/>
  <c r="S48" i="25"/>
  <c r="R48" i="25"/>
  <c r="Q48" i="25"/>
  <c r="P48" i="25"/>
  <c r="O48" i="25"/>
  <c r="N48" i="25"/>
  <c r="M48" i="25"/>
  <c r="L48" i="25"/>
  <c r="K48" i="25"/>
  <c r="J48" i="25"/>
  <c r="I48" i="25"/>
  <c r="H48" i="25"/>
  <c r="G48" i="25"/>
  <c r="F48" i="25"/>
  <c r="E48" i="25"/>
  <c r="D48" i="25"/>
  <c r="CM45" i="25"/>
  <c r="J43" i="25"/>
  <c r="I43" i="25"/>
  <c r="H43" i="25" s="1"/>
  <c r="GE42" i="25"/>
  <c r="GD42" i="25"/>
  <c r="GC42" i="25"/>
  <c r="GB42" i="25"/>
  <c r="GA42" i="25"/>
  <c r="FZ42" i="25"/>
  <c r="FY42" i="25"/>
  <c r="FX42" i="25"/>
  <c r="FW42" i="25"/>
  <c r="FV42" i="25"/>
  <c r="FU42" i="25"/>
  <c r="FT42" i="25"/>
  <c r="FS42" i="25"/>
  <c r="FR42" i="25"/>
  <c r="FQ42" i="25"/>
  <c r="FP42" i="25"/>
  <c r="FO42" i="25"/>
  <c r="FN42" i="25"/>
  <c r="FM42" i="25"/>
  <c r="FL42" i="25"/>
  <c r="FK42" i="25"/>
  <c r="FJ42" i="25"/>
  <c r="FI42" i="25"/>
  <c r="FH42" i="25"/>
  <c r="FG42" i="25"/>
  <c r="FF42" i="25"/>
  <c r="FE42" i="25"/>
  <c r="FD42" i="25"/>
  <c r="FC42" i="25"/>
  <c r="FB42" i="25"/>
  <c r="FA42" i="25"/>
  <c r="EZ42" i="25"/>
  <c r="EY42" i="25"/>
  <c r="EX42" i="25"/>
  <c r="EW42" i="25"/>
  <c r="EV42" i="25"/>
  <c r="EU42" i="25"/>
  <c r="ET42" i="25"/>
  <c r="ES42" i="25"/>
  <c r="ER42" i="25"/>
  <c r="EQ42" i="25"/>
  <c r="EP42" i="25"/>
  <c r="EO42" i="25"/>
  <c r="EN42" i="25"/>
  <c r="EM42" i="25"/>
  <c r="EL42" i="25"/>
  <c r="EK42" i="25"/>
  <c r="EJ42" i="25"/>
  <c r="EI42" i="25"/>
  <c r="EH42" i="25"/>
  <c r="EG42" i="25"/>
  <c r="EF42" i="25"/>
  <c r="EE42" i="25"/>
  <c r="ED42" i="25"/>
  <c r="EC42" i="25"/>
  <c r="EB42" i="25"/>
  <c r="EA42" i="25"/>
  <c r="DZ42" i="25"/>
  <c r="DY42" i="25"/>
  <c r="DX42" i="25"/>
  <c r="DW42" i="25"/>
  <c r="DV42" i="25"/>
  <c r="DU42" i="25"/>
  <c r="DT42" i="25"/>
  <c r="DS42" i="25"/>
  <c r="DR42" i="25"/>
  <c r="DQ42" i="25"/>
  <c r="DP42" i="25"/>
  <c r="DO42" i="25"/>
  <c r="DN42" i="25"/>
  <c r="DM42" i="25"/>
  <c r="DL42" i="25"/>
  <c r="DK42" i="25"/>
  <c r="DJ42" i="25"/>
  <c r="DI42" i="25"/>
  <c r="DH42" i="25"/>
  <c r="DG42" i="25"/>
  <c r="DF42" i="25"/>
  <c r="DE42" i="25"/>
  <c r="DD42" i="25"/>
  <c r="DC42" i="25"/>
  <c r="DB42" i="25"/>
  <c r="DA42" i="25"/>
  <c r="CZ42" i="25"/>
  <c r="CY42" i="25"/>
  <c r="CX42" i="25"/>
  <c r="CW42" i="25"/>
  <c r="CV42" i="25"/>
  <c r="CU42" i="25"/>
  <c r="CT42" i="25"/>
  <c r="CS42" i="25"/>
  <c r="CR42" i="25"/>
  <c r="CQ42" i="25"/>
  <c r="CP42" i="25"/>
  <c r="CO42" i="25"/>
  <c r="CN42" i="25"/>
  <c r="CL42" i="25"/>
  <c r="CK42" i="25"/>
  <c r="CJ42" i="25"/>
  <c r="CI42" i="25"/>
  <c r="CH42" i="25"/>
  <c r="CG42" i="25"/>
  <c r="CF42" i="25"/>
  <c r="CE42" i="25"/>
  <c r="CD42" i="25"/>
  <c r="CC42" i="25"/>
  <c r="CB42" i="25"/>
  <c r="CA42" i="25"/>
  <c r="BZ42" i="25"/>
  <c r="BY42" i="25"/>
  <c r="BX42" i="25"/>
  <c r="BW42" i="25"/>
  <c r="BV42" i="25"/>
  <c r="BU42" i="25"/>
  <c r="BT42" i="25"/>
  <c r="BS42" i="25"/>
  <c r="BR42" i="25"/>
  <c r="BQ42" i="25"/>
  <c r="BP42" i="25"/>
  <c r="BO42" i="25"/>
  <c r="BN42" i="25"/>
  <c r="BM42" i="25"/>
  <c r="BL42" i="25"/>
  <c r="BK42" i="25"/>
  <c r="BJ42" i="25"/>
  <c r="BI42" i="25"/>
  <c r="BH42" i="25"/>
  <c r="BG42" i="25"/>
  <c r="BF42" i="25"/>
  <c r="BE42" i="25"/>
  <c r="BD42" i="25"/>
  <c r="BC42" i="25"/>
  <c r="BB42" i="25"/>
  <c r="BA42" i="25"/>
  <c r="AZ42" i="25"/>
  <c r="AY42" i="25"/>
  <c r="AX42" i="25"/>
  <c r="AW42" i="25"/>
  <c r="AV42" i="25"/>
  <c r="AU42" i="25"/>
  <c r="AT42" i="25"/>
  <c r="AS42" i="25"/>
  <c r="AR42" i="25"/>
  <c r="AQ42" i="25"/>
  <c r="AP42" i="25"/>
  <c r="AO42" i="25"/>
  <c r="AN42" i="25"/>
  <c r="AM42" i="25"/>
  <c r="AL42" i="25"/>
  <c r="AK42" i="25"/>
  <c r="AJ42" i="25"/>
  <c r="AI42" i="25"/>
  <c r="AH42" i="25"/>
  <c r="AG42" i="25"/>
  <c r="AF42" i="25"/>
  <c r="AE42" i="25"/>
  <c r="AD42" i="25"/>
  <c r="AC42" i="25"/>
  <c r="AB42" i="25"/>
  <c r="AA42" i="25"/>
  <c r="Z42" i="25"/>
  <c r="Y42" i="25"/>
  <c r="X42" i="25"/>
  <c r="W42" i="25"/>
  <c r="V42" i="25"/>
  <c r="U42" i="25"/>
  <c r="T42" i="25"/>
  <c r="S42" i="25"/>
  <c r="R42" i="25"/>
  <c r="Q42" i="25"/>
  <c r="P42" i="25"/>
  <c r="O42" i="25"/>
  <c r="N42" i="25"/>
  <c r="M42" i="25"/>
  <c r="L42" i="25"/>
  <c r="K42" i="25"/>
  <c r="J42" i="25"/>
  <c r="I42" i="25"/>
  <c r="GE39" i="25"/>
  <c r="GD39" i="25"/>
  <c r="GC39" i="25"/>
  <c r="GB39" i="25"/>
  <c r="GA39" i="25"/>
  <c r="FZ39" i="25"/>
  <c r="FY39" i="25"/>
  <c r="FX39" i="25"/>
  <c r="FW39" i="25"/>
  <c r="FV39" i="25"/>
  <c r="FU39" i="25"/>
  <c r="FT39" i="25"/>
  <c r="FS39" i="25"/>
  <c r="FR39" i="25"/>
  <c r="FQ39" i="25"/>
  <c r="FP39" i="25"/>
  <c r="FO39" i="25"/>
  <c r="FN39" i="25"/>
  <c r="FM39" i="25"/>
  <c r="FL39" i="25"/>
  <c r="FK39" i="25"/>
  <c r="FJ39" i="25"/>
  <c r="FI39" i="25"/>
  <c r="FH39" i="25"/>
  <c r="FG39" i="25"/>
  <c r="FF39" i="25"/>
  <c r="FE39" i="25"/>
  <c r="FD39" i="25"/>
  <c r="FC39" i="25"/>
  <c r="FB39" i="25"/>
  <c r="FA39" i="25"/>
  <c r="EZ39" i="25"/>
  <c r="EY39" i="25"/>
  <c r="EX39" i="25"/>
  <c r="EW39" i="25"/>
  <c r="EV39" i="25"/>
  <c r="EU39" i="25"/>
  <c r="ET39" i="25"/>
  <c r="ES39" i="25"/>
  <c r="ER39" i="25"/>
  <c r="EQ39" i="25"/>
  <c r="EP39" i="25"/>
  <c r="EO39" i="25"/>
  <c r="EN39" i="25"/>
  <c r="EM39" i="25"/>
  <c r="EL39" i="25"/>
  <c r="EK39" i="25"/>
  <c r="EJ39" i="25"/>
  <c r="EI39" i="25"/>
  <c r="EH39" i="25"/>
  <c r="EG39" i="25"/>
  <c r="EF39" i="25"/>
  <c r="EE39" i="25"/>
  <c r="ED39" i="25"/>
  <c r="EC39" i="25"/>
  <c r="EB39" i="25"/>
  <c r="EA39" i="25"/>
  <c r="DZ39" i="25"/>
  <c r="DY39" i="25"/>
  <c r="DX39" i="25"/>
  <c r="DW39" i="25"/>
  <c r="DV39" i="25"/>
  <c r="DU39" i="25"/>
  <c r="DT39" i="25"/>
  <c r="DS39" i="25"/>
  <c r="DR39" i="25"/>
  <c r="DQ39" i="25"/>
  <c r="DP39" i="25"/>
  <c r="DO39" i="25"/>
  <c r="DN39" i="25"/>
  <c r="DM39" i="25"/>
  <c r="DL39" i="25"/>
  <c r="DK39" i="25"/>
  <c r="DJ39" i="25"/>
  <c r="DI39" i="25"/>
  <c r="DH39" i="25"/>
  <c r="DG39" i="25"/>
  <c r="DF39" i="25"/>
  <c r="DE39" i="25"/>
  <c r="DD39" i="25"/>
  <c r="DC39" i="25"/>
  <c r="DB39" i="25"/>
  <c r="DA39" i="25"/>
  <c r="CZ39" i="25"/>
  <c r="CY39" i="25"/>
  <c r="CX39" i="25"/>
  <c r="CW39" i="25"/>
  <c r="CV39" i="25"/>
  <c r="CU39" i="25"/>
  <c r="CT39" i="25"/>
  <c r="CS39" i="25"/>
  <c r="CR39" i="25"/>
  <c r="CQ39" i="25"/>
  <c r="CP39" i="25"/>
  <c r="CO39" i="25"/>
  <c r="CN39" i="25"/>
  <c r="CM39" i="25"/>
  <c r="CL39" i="25"/>
  <c r="CK39" i="25"/>
  <c r="CJ39" i="25"/>
  <c r="CI39" i="25"/>
  <c r="CH39" i="25"/>
  <c r="CG39" i="25"/>
  <c r="CF39" i="25"/>
  <c r="CE39" i="25"/>
  <c r="CD39" i="25"/>
  <c r="CC39" i="25"/>
  <c r="CB39" i="25"/>
  <c r="CA39" i="25"/>
  <c r="BZ39" i="25"/>
  <c r="BY39" i="25"/>
  <c r="BX39" i="25"/>
  <c r="BW39" i="25"/>
  <c r="BV39" i="25"/>
  <c r="BU39" i="25"/>
  <c r="BT39" i="25"/>
  <c r="BS39" i="25"/>
  <c r="BR39" i="25"/>
  <c r="BQ39" i="25"/>
  <c r="BP39" i="25"/>
  <c r="BO39" i="25"/>
  <c r="BN39" i="25"/>
  <c r="BM39" i="25"/>
  <c r="BL39" i="25"/>
  <c r="BK39" i="25"/>
  <c r="BJ39" i="25"/>
  <c r="BI39" i="25"/>
  <c r="BH39" i="25"/>
  <c r="BG39" i="25"/>
  <c r="BF39" i="25"/>
  <c r="BE39" i="25"/>
  <c r="BD39" i="25"/>
  <c r="BC39" i="25"/>
  <c r="BB39" i="25"/>
  <c r="BA39" i="25"/>
  <c r="AZ39" i="25"/>
  <c r="AY39" i="25"/>
  <c r="AX39" i="25"/>
  <c r="AW39" i="25"/>
  <c r="AV39" i="25"/>
  <c r="AU39" i="25"/>
  <c r="AT39" i="25"/>
  <c r="AS39" i="25"/>
  <c r="AR39" i="25"/>
  <c r="AQ39" i="25"/>
  <c r="AP39" i="25"/>
  <c r="AO39" i="25"/>
  <c r="AN39" i="25"/>
  <c r="AM39" i="25"/>
  <c r="AL39" i="25"/>
  <c r="AK39" i="25"/>
  <c r="AJ39" i="25"/>
  <c r="AI39" i="25"/>
  <c r="AH39" i="25"/>
  <c r="AG39" i="25"/>
  <c r="AF39" i="25"/>
  <c r="AE39" i="25"/>
  <c r="AD39" i="25"/>
  <c r="AC39" i="25"/>
  <c r="AB39" i="25"/>
  <c r="AA39" i="25"/>
  <c r="Z39" i="25"/>
  <c r="Y39" i="25"/>
  <c r="X39" i="25"/>
  <c r="W39" i="25"/>
  <c r="V39" i="25"/>
  <c r="U39" i="25"/>
  <c r="T39" i="25"/>
  <c r="S39" i="25"/>
  <c r="R39" i="25"/>
  <c r="Q39" i="25"/>
  <c r="P39" i="25"/>
  <c r="O39" i="25"/>
  <c r="N39" i="25"/>
  <c r="M39" i="25"/>
  <c r="L39" i="25"/>
  <c r="K39" i="25"/>
  <c r="J39" i="25"/>
  <c r="I39" i="25"/>
  <c r="H39" i="25"/>
  <c r="G39" i="25"/>
  <c r="F39" i="25"/>
  <c r="E39" i="25"/>
  <c r="D39" i="25"/>
  <c r="GE36" i="25"/>
  <c r="GD36" i="25"/>
  <c r="GC36" i="25"/>
  <c r="GB36" i="25"/>
  <c r="GA36" i="25"/>
  <c r="FZ36" i="25"/>
  <c r="FY36" i="25"/>
  <c r="FX36" i="25"/>
  <c r="FW36" i="25"/>
  <c r="FV36" i="25"/>
  <c r="FU36" i="25"/>
  <c r="FT36" i="25"/>
  <c r="FS36" i="25"/>
  <c r="FR36" i="25"/>
  <c r="FQ36" i="25"/>
  <c r="FP36" i="25"/>
  <c r="FO36" i="25"/>
  <c r="FN36" i="25"/>
  <c r="FM36" i="25"/>
  <c r="FL36" i="25"/>
  <c r="FK36" i="25"/>
  <c r="FJ36" i="25"/>
  <c r="FI36" i="25"/>
  <c r="FH36" i="25"/>
  <c r="FG36" i="25"/>
  <c r="FF36" i="25"/>
  <c r="FE36" i="25"/>
  <c r="FD36" i="25"/>
  <c r="FC36" i="25"/>
  <c r="FB36" i="25"/>
  <c r="FA36" i="25"/>
  <c r="EZ36" i="25"/>
  <c r="EY36" i="25"/>
  <c r="EX36" i="25"/>
  <c r="EW36" i="25"/>
  <c r="EV36" i="25"/>
  <c r="EU36" i="25"/>
  <c r="ET36" i="25"/>
  <c r="ES36" i="25"/>
  <c r="ER36" i="25"/>
  <c r="EQ36" i="25"/>
  <c r="EP36" i="25"/>
  <c r="EO36" i="25"/>
  <c r="EN36" i="25"/>
  <c r="EM36" i="25"/>
  <c r="EL36" i="25"/>
  <c r="EK36" i="25"/>
  <c r="EJ36" i="25"/>
  <c r="EI36" i="25"/>
  <c r="EH36" i="25"/>
  <c r="EG36" i="25"/>
  <c r="EF36" i="25"/>
  <c r="EE36" i="25"/>
  <c r="ED36" i="25"/>
  <c r="EC36" i="25"/>
  <c r="EB36" i="25"/>
  <c r="EA36" i="25"/>
  <c r="DZ36" i="25"/>
  <c r="DY36" i="25"/>
  <c r="DX36" i="25"/>
  <c r="DW36" i="25"/>
  <c r="DV36" i="25"/>
  <c r="DU36" i="25"/>
  <c r="DT36" i="25"/>
  <c r="DS36" i="25"/>
  <c r="DR36" i="25"/>
  <c r="DQ36" i="25"/>
  <c r="DP36" i="25"/>
  <c r="DO36" i="25"/>
  <c r="DN36" i="25"/>
  <c r="DM36" i="25"/>
  <c r="DL36" i="25"/>
  <c r="DK36" i="25"/>
  <c r="DJ36" i="25"/>
  <c r="DI36" i="25"/>
  <c r="DH36" i="25"/>
  <c r="DG36" i="25"/>
  <c r="DF36" i="25"/>
  <c r="DE36" i="25"/>
  <c r="DD36" i="25"/>
  <c r="DC36" i="25"/>
  <c r="DB36" i="25"/>
  <c r="DA36" i="25"/>
  <c r="CZ36" i="25"/>
  <c r="CY36" i="25"/>
  <c r="CX36" i="25"/>
  <c r="CW36" i="25"/>
  <c r="CV36" i="25"/>
  <c r="CU36" i="25"/>
  <c r="CT36" i="25"/>
  <c r="CS36" i="25"/>
  <c r="CR36" i="25"/>
  <c r="CQ36" i="25"/>
  <c r="CP36" i="25"/>
  <c r="CO36" i="25"/>
  <c r="CN36" i="25"/>
  <c r="CM36" i="25"/>
  <c r="CL36" i="25"/>
  <c r="CK36" i="25"/>
  <c r="CJ36" i="25"/>
  <c r="CI36" i="25"/>
  <c r="CH36" i="25"/>
  <c r="CG36" i="25"/>
  <c r="CF36" i="25"/>
  <c r="CE36" i="25"/>
  <c r="CD36" i="25"/>
  <c r="CC36" i="25"/>
  <c r="CB36" i="25"/>
  <c r="CA36" i="25"/>
  <c r="BZ36" i="25"/>
  <c r="BY36" i="25"/>
  <c r="BX36" i="25"/>
  <c r="BW36" i="25"/>
  <c r="BV36" i="25"/>
  <c r="BU36" i="25"/>
  <c r="BT36" i="25"/>
  <c r="BS36" i="25"/>
  <c r="BR36" i="25"/>
  <c r="BQ36" i="25"/>
  <c r="BP36" i="25"/>
  <c r="BO36" i="25"/>
  <c r="BN36" i="25"/>
  <c r="BM36" i="25"/>
  <c r="BL36" i="25"/>
  <c r="BK36" i="25"/>
  <c r="BJ36" i="25"/>
  <c r="BI36" i="25"/>
  <c r="BH36" i="25"/>
  <c r="BG36" i="25"/>
  <c r="BF36" i="25"/>
  <c r="BE36" i="25"/>
  <c r="BD36" i="25"/>
  <c r="BC36" i="25"/>
  <c r="BB36" i="25"/>
  <c r="BA36" i="25"/>
  <c r="AZ36" i="25"/>
  <c r="AY36" i="25"/>
  <c r="AX36" i="25"/>
  <c r="AW36" i="25"/>
  <c r="AV36" i="25"/>
  <c r="AU36" i="25"/>
  <c r="AT36" i="25"/>
  <c r="AS36" i="25"/>
  <c r="AR36" i="25"/>
  <c r="AQ36" i="25"/>
  <c r="AP36" i="25"/>
  <c r="AO36" i="25"/>
  <c r="AN36" i="25"/>
  <c r="AM36" i="25"/>
  <c r="AL36" i="25"/>
  <c r="AK36" i="25"/>
  <c r="AJ36" i="25"/>
  <c r="AI36" i="25"/>
  <c r="AH36" i="25"/>
  <c r="AG36" i="25"/>
  <c r="AF36" i="25"/>
  <c r="AE36" i="25"/>
  <c r="AD36" i="25"/>
  <c r="AC36" i="25"/>
  <c r="AB36" i="25"/>
  <c r="AA36" i="25"/>
  <c r="Z36" i="25"/>
  <c r="Y36" i="25"/>
  <c r="X36" i="25"/>
  <c r="W36" i="25"/>
  <c r="V36" i="25"/>
  <c r="U36" i="25"/>
  <c r="T36" i="25"/>
  <c r="S36" i="25"/>
  <c r="R36" i="25"/>
  <c r="Q36" i="25"/>
  <c r="P36" i="25"/>
  <c r="O36" i="25"/>
  <c r="N36" i="25"/>
  <c r="M36" i="25"/>
  <c r="L36" i="25"/>
  <c r="K36" i="25"/>
  <c r="J36" i="25"/>
  <c r="I36" i="25"/>
  <c r="H36" i="25"/>
  <c r="G36" i="25"/>
  <c r="F36" i="25"/>
  <c r="E36" i="25"/>
  <c r="D36" i="25"/>
  <c r="GE32" i="25"/>
  <c r="GD32" i="25"/>
  <c r="GC32" i="25"/>
  <c r="GB32" i="25"/>
  <c r="GA32" i="25"/>
  <c r="FZ32" i="25"/>
  <c r="FY32" i="25"/>
  <c r="FX32" i="25"/>
  <c r="FW32" i="25"/>
  <c r="FV32" i="25"/>
  <c r="FU32" i="25"/>
  <c r="FT32" i="25"/>
  <c r="FS32" i="25"/>
  <c r="FR32" i="25"/>
  <c r="FQ32" i="25"/>
  <c r="FP32" i="25"/>
  <c r="FO32" i="25"/>
  <c r="FN32" i="25"/>
  <c r="FM32" i="25"/>
  <c r="FL32" i="25"/>
  <c r="FK32" i="25"/>
  <c r="FJ32" i="25"/>
  <c r="FI32" i="25"/>
  <c r="FH32" i="25"/>
  <c r="FG32" i="25"/>
  <c r="FF32" i="25"/>
  <c r="FE32" i="25"/>
  <c r="FD32" i="25"/>
  <c r="FC32" i="25"/>
  <c r="FB32" i="25"/>
  <c r="FA32" i="25"/>
  <c r="EZ32" i="25"/>
  <c r="EY32" i="25"/>
  <c r="EX32" i="25"/>
  <c r="EW32" i="25"/>
  <c r="EV32" i="25"/>
  <c r="EU32" i="25"/>
  <c r="ET32" i="25"/>
  <c r="ES32" i="25"/>
  <c r="ER32" i="25"/>
  <c r="EQ32" i="25"/>
  <c r="EP32" i="25"/>
  <c r="EO32" i="25"/>
  <c r="EN32" i="25"/>
  <c r="EM32" i="25"/>
  <c r="EL32" i="25"/>
  <c r="EK32" i="25"/>
  <c r="EJ32" i="25"/>
  <c r="EI32" i="25"/>
  <c r="EH32" i="25"/>
  <c r="EG32" i="25"/>
  <c r="EF32" i="25"/>
  <c r="EE32" i="25"/>
  <c r="ED32" i="25"/>
  <c r="EC32" i="25"/>
  <c r="EB32" i="25"/>
  <c r="EA32" i="25"/>
  <c r="DZ32" i="25"/>
  <c r="DY32" i="25"/>
  <c r="DX32" i="25"/>
  <c r="DW32" i="25"/>
  <c r="DV32" i="25"/>
  <c r="DU32" i="25"/>
  <c r="DT32" i="25"/>
  <c r="DS32" i="25"/>
  <c r="DR32" i="25"/>
  <c r="DQ32" i="25"/>
  <c r="DP32" i="25"/>
  <c r="DO32" i="25"/>
  <c r="DN32" i="25"/>
  <c r="DM32" i="25"/>
  <c r="DL32" i="25"/>
  <c r="DK32" i="25"/>
  <c r="DJ32" i="25"/>
  <c r="DI32" i="25"/>
  <c r="DH32" i="25"/>
  <c r="DG32" i="25"/>
  <c r="DF32" i="25"/>
  <c r="DE32" i="25"/>
  <c r="DD32" i="25"/>
  <c r="DC32" i="25"/>
  <c r="DB32" i="25"/>
  <c r="DA32" i="25"/>
  <c r="CZ32" i="25"/>
  <c r="CY32" i="25"/>
  <c r="CX32" i="25"/>
  <c r="CW32" i="25"/>
  <c r="CV32" i="25"/>
  <c r="CU32" i="25"/>
  <c r="CT32" i="25"/>
  <c r="CS32" i="25"/>
  <c r="CR32" i="25"/>
  <c r="CQ32" i="25"/>
  <c r="CP32" i="25"/>
  <c r="CO32" i="25"/>
  <c r="CN32" i="25"/>
  <c r="CM32" i="25"/>
  <c r="CL32" i="25"/>
  <c r="CK32" i="25"/>
  <c r="CJ32" i="25"/>
  <c r="CI32" i="25"/>
  <c r="CH32" i="25"/>
  <c r="CG32" i="25"/>
  <c r="CF32" i="25"/>
  <c r="CE32" i="25"/>
  <c r="CD32" i="25"/>
  <c r="CC32" i="25"/>
  <c r="CB32" i="25"/>
  <c r="CA32" i="25"/>
  <c r="BZ32" i="25"/>
  <c r="BY32" i="25"/>
  <c r="BX32" i="25"/>
  <c r="BW32" i="25"/>
  <c r="BV32" i="25"/>
  <c r="BU32" i="25"/>
  <c r="BT32" i="25"/>
  <c r="BS32" i="25"/>
  <c r="BR32" i="25"/>
  <c r="BQ32" i="25"/>
  <c r="BP32" i="25"/>
  <c r="BO32" i="25"/>
  <c r="BN32" i="25"/>
  <c r="BM32" i="25"/>
  <c r="BL32" i="25"/>
  <c r="BK32" i="25"/>
  <c r="BJ32" i="25"/>
  <c r="BI32" i="25"/>
  <c r="BH32" i="25"/>
  <c r="BG32" i="25"/>
  <c r="BF32" i="25"/>
  <c r="BE32" i="25"/>
  <c r="BD32" i="25"/>
  <c r="BC32" i="25"/>
  <c r="BB32" i="25"/>
  <c r="BA32" i="25"/>
  <c r="AZ32" i="25"/>
  <c r="AY32" i="25"/>
  <c r="AX32" i="25"/>
  <c r="AW32" i="25"/>
  <c r="AV32" i="25"/>
  <c r="AU32" i="25"/>
  <c r="AT32" i="25"/>
  <c r="AS32" i="25"/>
  <c r="AR32" i="25"/>
  <c r="AQ32" i="25"/>
  <c r="AP32" i="25"/>
  <c r="AO32" i="25"/>
  <c r="AN32" i="25"/>
  <c r="AM32" i="25"/>
  <c r="AL32" i="25"/>
  <c r="AK32" i="25"/>
  <c r="AJ32" i="25"/>
  <c r="AI32" i="25"/>
  <c r="AH32" i="25"/>
  <c r="AG32" i="25"/>
  <c r="AF32" i="25"/>
  <c r="AE32" i="25"/>
  <c r="AD32" i="25"/>
  <c r="AC32" i="25"/>
  <c r="AB32" i="25"/>
  <c r="AA32" i="25"/>
  <c r="Z32" i="25"/>
  <c r="Y32" i="25"/>
  <c r="X32" i="25"/>
  <c r="W32" i="25"/>
  <c r="V32" i="25"/>
  <c r="U32" i="25"/>
  <c r="T32" i="25"/>
  <c r="S32" i="25"/>
  <c r="R32" i="25"/>
  <c r="Q32" i="25"/>
  <c r="P32" i="25"/>
  <c r="O32" i="25"/>
  <c r="N32" i="25"/>
  <c r="M32" i="25"/>
  <c r="L32" i="25"/>
  <c r="K32" i="25"/>
  <c r="J32" i="25"/>
  <c r="I32" i="25"/>
  <c r="H32" i="25"/>
  <c r="G32" i="25"/>
  <c r="F32" i="25"/>
  <c r="E32" i="25"/>
  <c r="D32" i="25"/>
  <c r="FB27" i="25"/>
  <c r="Y27" i="25"/>
  <c r="L27" i="25"/>
  <c r="CJ26" i="25"/>
  <c r="CG26" i="25"/>
  <c r="CG21" i="25" s="1"/>
  <c r="Y26" i="25"/>
  <c r="FD25" i="25"/>
  <c r="EX25" i="25"/>
  <c r="DL25" i="25"/>
  <c r="DL21" i="25" s="1"/>
  <c r="CM25" i="25"/>
  <c r="AY25" i="25"/>
  <c r="FP24" i="25"/>
  <c r="FJ24" i="25"/>
  <c r="FJ21" i="25" s="1"/>
  <c r="FI24" i="25"/>
  <c r="FH24" i="25"/>
  <c r="FH21" i="25" s="1"/>
  <c r="FD24" i="25"/>
  <c r="FD21" i="25" s="1"/>
  <c r="EX24" i="25"/>
  <c r="DJ24" i="25"/>
  <c r="DE24" i="25"/>
  <c r="DE21" i="25" s="1"/>
  <c r="DC24" i="25"/>
  <c r="DC21" i="25" s="1"/>
  <c r="CX24" i="25"/>
  <c r="CX21" i="25" s="1"/>
  <c r="CT24" i="25"/>
  <c r="CR24" i="25"/>
  <c r="CM24" i="25"/>
  <c r="CJ24" i="25"/>
  <c r="CG24" i="25"/>
  <c r="CA24" i="25"/>
  <c r="CA21" i="25" s="1"/>
  <c r="BV24" i="25"/>
  <c r="BU24" i="25"/>
  <c r="BU21" i="25" s="1"/>
  <c r="BT24" i="25"/>
  <c r="BQ24" i="25"/>
  <c r="BQ21" i="25" s="1"/>
  <c r="BO24" i="25"/>
  <c r="BO21" i="25" s="1"/>
  <c r="BL24" i="25"/>
  <c r="BG24" i="25"/>
  <c r="BF24" i="25"/>
  <c r="BF21" i="25" s="1"/>
  <c r="BA24" i="25"/>
  <c r="AY24" i="25"/>
  <c r="AY21" i="25" s="1"/>
  <c r="AX24" i="25"/>
  <c r="AU24" i="25"/>
  <c r="AU21" i="25" s="1"/>
  <c r="AS24" i="25"/>
  <c r="AS21" i="25" s="1"/>
  <c r="AR24" i="25"/>
  <c r="AR21" i="25" s="1"/>
  <c r="AM24" i="25"/>
  <c r="AB24" i="25"/>
  <c r="AB21" i="25" s="1"/>
  <c r="Y24" i="25"/>
  <c r="W24" i="25"/>
  <c r="V24" i="25"/>
  <c r="T24" i="25"/>
  <c r="T21" i="25" s="1"/>
  <c r="O24" i="25"/>
  <c r="O21" i="25" s="1"/>
  <c r="L24" i="25"/>
  <c r="J24" i="25"/>
  <c r="H24" i="25"/>
  <c r="FZ23" i="25"/>
  <c r="FZ21" i="25" s="1"/>
  <c r="FQ23" i="25"/>
  <c r="FM23" i="25"/>
  <c r="FL23" i="25"/>
  <c r="FE23" i="25"/>
  <c r="FE21" i="25" s="1"/>
  <c r="EU23" i="25"/>
  <c r="ET23" i="25"/>
  <c r="ET21" i="25" s="1"/>
  <c r="ES23" i="25"/>
  <c r="ES21" i="25" s="1"/>
  <c r="EQ23" i="25"/>
  <c r="EM23" i="25"/>
  <c r="EL23" i="25"/>
  <c r="EB23" i="25"/>
  <c r="EB21" i="25" s="1"/>
  <c r="EA23" i="25"/>
  <c r="EA21" i="25" s="1"/>
  <c r="DT23" i="25"/>
  <c r="DQ23" i="25"/>
  <c r="DK23" i="25"/>
  <c r="DK21" i="25" s="1"/>
  <c r="CZ23" i="25"/>
  <c r="CZ21" i="25" s="1"/>
  <c r="CT23" i="25"/>
  <c r="CQ23" i="25"/>
  <c r="CO23" i="25"/>
  <c r="CM23" i="25"/>
  <c r="CI23" i="25"/>
  <c r="CG23" i="25"/>
  <c r="BL23" i="25"/>
  <c r="BJ23" i="25"/>
  <c r="BJ21" i="25" s="1"/>
  <c r="BG23" i="25"/>
  <c r="AZ23" i="25"/>
  <c r="AZ21" i="25" s="1"/>
  <c r="AW23" i="25"/>
  <c r="AW21" i="25" s="1"/>
  <c r="AK23" i="25"/>
  <c r="AI23" i="25"/>
  <c r="AD23" i="25"/>
  <c r="AD21" i="25" s="1"/>
  <c r="N23" i="25"/>
  <c r="K23" i="25"/>
  <c r="K21" i="25" s="1"/>
  <c r="F23" i="25"/>
  <c r="FU22" i="25"/>
  <c r="FT22" i="25"/>
  <c r="FT21" i="25" s="1"/>
  <c r="FS22" i="25"/>
  <c r="FM22" i="25"/>
  <c r="FC22" i="25"/>
  <c r="FB22" i="25"/>
  <c r="FB21" i="25" s="1"/>
  <c r="EO22" i="25"/>
  <c r="EL22" i="25"/>
  <c r="EL21" i="25" s="1"/>
  <c r="DX22" i="25"/>
  <c r="DX21" i="25" s="1"/>
  <c r="DN22" i="25"/>
  <c r="DN21" i="25" s="1"/>
  <c r="CZ22" i="25"/>
  <c r="CR22" i="25"/>
  <c r="CM22" i="25"/>
  <c r="CM21" i="25" s="1"/>
  <c r="CJ22" i="25"/>
  <c r="AW22" i="25"/>
  <c r="AQ22" i="25"/>
  <c r="Y22" i="25"/>
  <c r="Y21" i="25" s="1"/>
  <c r="P22" i="25"/>
  <c r="P21" i="25" s="1"/>
  <c r="O22" i="25"/>
  <c r="L22" i="25"/>
  <c r="GE21" i="25"/>
  <c r="GD21" i="25"/>
  <c r="GC21" i="25"/>
  <c r="GB21" i="25"/>
  <c r="GA21" i="25"/>
  <c r="FY21" i="25"/>
  <c r="FX21" i="25"/>
  <c r="FW21" i="25"/>
  <c r="FV21" i="25"/>
  <c r="FU21" i="25"/>
  <c r="FS21" i="25"/>
  <c r="FR21" i="25"/>
  <c r="FQ21" i="25"/>
  <c r="FP21" i="25"/>
  <c r="FO21" i="25"/>
  <c r="FN21" i="25"/>
  <c r="FM21" i="25"/>
  <c r="FL21" i="25"/>
  <c r="FK21" i="25"/>
  <c r="FI21" i="25"/>
  <c r="FG21" i="25"/>
  <c r="FF21" i="25"/>
  <c r="FC21" i="25"/>
  <c r="FA21" i="25"/>
  <c r="EZ21" i="25"/>
  <c r="EY21" i="25"/>
  <c r="EW21" i="25"/>
  <c r="EV21" i="25"/>
  <c r="EU21" i="25"/>
  <c r="ER21" i="25"/>
  <c r="EQ21" i="25"/>
  <c r="EP21" i="25"/>
  <c r="EO21" i="25"/>
  <c r="EN21" i="25"/>
  <c r="EM21" i="25"/>
  <c r="EK21" i="25"/>
  <c r="EJ21" i="25"/>
  <c r="EI21" i="25"/>
  <c r="EH21" i="25"/>
  <c r="EG21" i="25"/>
  <c r="EF21" i="25"/>
  <c r="EE21" i="25"/>
  <c r="ED21" i="25"/>
  <c r="EC21" i="25"/>
  <c r="DZ21" i="25"/>
  <c r="DY21" i="25"/>
  <c r="DW21" i="25"/>
  <c r="DV21" i="25"/>
  <c r="DU21" i="25"/>
  <c r="DT21" i="25"/>
  <c r="DS21" i="25"/>
  <c r="DR21" i="25"/>
  <c r="DQ21" i="25"/>
  <c r="DP21" i="25"/>
  <c r="DO21" i="25"/>
  <c r="DM21" i="25"/>
  <c r="DJ21" i="25"/>
  <c r="DI21" i="25"/>
  <c r="DH21" i="25"/>
  <c r="DG21" i="25"/>
  <c r="DF21" i="25"/>
  <c r="DD21" i="25"/>
  <c r="DB21" i="25"/>
  <c r="DA21" i="25"/>
  <c r="CY21" i="25"/>
  <c r="CW21" i="25"/>
  <c r="CV21" i="25"/>
  <c r="CU21" i="25"/>
  <c r="CT21" i="25"/>
  <c r="CS21" i="25"/>
  <c r="CQ21" i="25"/>
  <c r="CP21" i="25"/>
  <c r="CO21" i="25"/>
  <c r="CN21" i="25"/>
  <c r="CL21" i="25"/>
  <c r="CK21" i="25"/>
  <c r="CI21" i="25"/>
  <c r="CH21" i="25"/>
  <c r="CF21" i="25"/>
  <c r="CE21" i="25"/>
  <c r="CD21" i="25"/>
  <c r="CC21" i="25"/>
  <c r="CB21" i="25"/>
  <c r="BZ21" i="25"/>
  <c r="BY21" i="25"/>
  <c r="BX21" i="25"/>
  <c r="BW21" i="25"/>
  <c r="BV21" i="25"/>
  <c r="BT21" i="25"/>
  <c r="BS21" i="25"/>
  <c r="BR21" i="25"/>
  <c r="BP21" i="25"/>
  <c r="BN21" i="25"/>
  <c r="BM21" i="25"/>
  <c r="BK21" i="25"/>
  <c r="BI21" i="25"/>
  <c r="BH21" i="25"/>
  <c r="BG21" i="25"/>
  <c r="BE21" i="25"/>
  <c r="BD21" i="25"/>
  <c r="BC21" i="25"/>
  <c r="BB21" i="25"/>
  <c r="BA21" i="25"/>
  <c r="AX21" i="25"/>
  <c r="AV21" i="25"/>
  <c r="AT21" i="25"/>
  <c r="AQ21" i="25"/>
  <c r="AP21" i="25"/>
  <c r="AO21" i="25"/>
  <c r="AN21" i="25"/>
  <c r="AM21" i="25"/>
  <c r="AL21" i="25"/>
  <c r="AK21" i="25"/>
  <c r="AJ21" i="25"/>
  <c r="AI21" i="25"/>
  <c r="AH21" i="25"/>
  <c r="AG21" i="25"/>
  <c r="AF21" i="25"/>
  <c r="AE21" i="25"/>
  <c r="AC21" i="25"/>
  <c r="AA21" i="25"/>
  <c r="Z21" i="25"/>
  <c r="X21" i="25"/>
  <c r="W21" i="25"/>
  <c r="V21" i="25"/>
  <c r="U21" i="25"/>
  <c r="S21" i="25"/>
  <c r="R21" i="25"/>
  <c r="Q21" i="25"/>
  <c r="N21" i="25"/>
  <c r="M21" i="25"/>
  <c r="J21" i="25"/>
  <c r="I21" i="25"/>
  <c r="G21" i="25"/>
  <c r="F21" i="25"/>
  <c r="E21" i="25"/>
  <c r="D21" i="25"/>
  <c r="GE18" i="25"/>
  <c r="FB18" i="25"/>
  <c r="ES18" i="25"/>
  <c r="ES11" i="25" s="1"/>
  <c r="EA18" i="25"/>
  <c r="DU18" i="25"/>
  <c r="CZ18" i="25"/>
  <c r="CM18" i="25"/>
  <c r="CJ18" i="25"/>
  <c r="CA18" i="25"/>
  <c r="CA11" i="25" s="1"/>
  <c r="BS18" i="25"/>
  <c r="BC18" i="25"/>
  <c r="BC11" i="25" s="1"/>
  <c r="AT18" i="25"/>
  <c r="AS18" i="25"/>
  <c r="AS11" i="25" s="1"/>
  <c r="AR18" i="25"/>
  <c r="AQ18" i="25"/>
  <c r="AQ11" i="25" s="1"/>
  <c r="AK18" i="25"/>
  <c r="AE18" i="25"/>
  <c r="AC18" i="25"/>
  <c r="AC11" i="25" s="1"/>
  <c r="V18" i="25"/>
  <c r="L18" i="25"/>
  <c r="O16" i="25"/>
  <c r="FN15" i="25"/>
  <c r="FN11" i="25" s="1"/>
  <c r="EX15" i="25"/>
  <c r="DU15" i="25"/>
  <c r="CM15" i="25"/>
  <c r="CG15" i="25"/>
  <c r="BZ15" i="25"/>
  <c r="BG15" i="25"/>
  <c r="V15" i="25"/>
  <c r="AN13" i="25"/>
  <c r="AN11" i="25" s="1"/>
  <c r="O13" i="25"/>
  <c r="ED12" i="25"/>
  <c r="DE12" i="25"/>
  <c r="GE11" i="25"/>
  <c r="GD11" i="25"/>
  <c r="GC11" i="25"/>
  <c r="GB11" i="25"/>
  <c r="GA11" i="25"/>
  <c r="FZ11" i="25"/>
  <c r="FY11" i="25"/>
  <c r="FX11" i="25"/>
  <c r="FW11" i="25"/>
  <c r="FV11" i="25"/>
  <c r="FU11" i="25"/>
  <c r="FT11" i="25"/>
  <c r="FS11" i="25"/>
  <c r="FR11" i="25"/>
  <c r="FQ11" i="25"/>
  <c r="FP11" i="25"/>
  <c r="FO11" i="25"/>
  <c r="FM11" i="25"/>
  <c r="FL11" i="25"/>
  <c r="FK11" i="25"/>
  <c r="FJ11" i="25"/>
  <c r="FI11" i="25"/>
  <c r="FH11" i="25"/>
  <c r="FG11" i="25"/>
  <c r="FF11" i="25"/>
  <c r="FE11" i="25"/>
  <c r="FD11" i="25"/>
  <c r="FC11" i="25"/>
  <c r="FB11" i="25"/>
  <c r="FA11" i="25"/>
  <c r="EZ11" i="25"/>
  <c r="EY11" i="25"/>
  <c r="EX11" i="25"/>
  <c r="EW11" i="25"/>
  <c r="EV11" i="25"/>
  <c r="EU11" i="25"/>
  <c r="ET11" i="25"/>
  <c r="ER11" i="25"/>
  <c r="EQ11" i="25"/>
  <c r="EP11" i="25"/>
  <c r="EO11" i="25"/>
  <c r="EN11" i="25"/>
  <c r="EM11" i="25"/>
  <c r="EL11" i="25"/>
  <c r="EK11" i="25"/>
  <c r="EJ11" i="25"/>
  <c r="EI11" i="25"/>
  <c r="EH11" i="25"/>
  <c r="EG11" i="25"/>
  <c r="EF11" i="25"/>
  <c r="EE11" i="25"/>
  <c r="ED11" i="25"/>
  <c r="EC11" i="25"/>
  <c r="EB11" i="25"/>
  <c r="EA11" i="25"/>
  <c r="DZ11" i="25"/>
  <c r="DY11" i="25"/>
  <c r="DX11" i="25"/>
  <c r="DW11" i="25"/>
  <c r="DV11" i="25"/>
  <c r="DT11" i="25"/>
  <c r="DS11" i="25"/>
  <c r="DR11" i="25"/>
  <c r="DQ11" i="25"/>
  <c r="DP11" i="25"/>
  <c r="DO11" i="25"/>
  <c r="DN11" i="25"/>
  <c r="DM11" i="25"/>
  <c r="DL11" i="25"/>
  <c r="DK11" i="25"/>
  <c r="DJ11" i="25"/>
  <c r="DI11" i="25"/>
  <c r="DH11" i="25"/>
  <c r="DG11" i="25"/>
  <c r="DF11" i="25"/>
  <c r="DE11" i="25"/>
  <c r="DD11" i="25"/>
  <c r="DC11" i="25"/>
  <c r="DB11" i="25"/>
  <c r="DA11" i="25"/>
  <c r="CZ11" i="25"/>
  <c r="CY11" i="25"/>
  <c r="CX11" i="25"/>
  <c r="CW11" i="25"/>
  <c r="CV11" i="25"/>
  <c r="CU11" i="25"/>
  <c r="CT11" i="25"/>
  <c r="CS11" i="25"/>
  <c r="CR11" i="25"/>
  <c r="CQ11" i="25"/>
  <c r="CP11" i="25"/>
  <c r="CO11" i="25"/>
  <c r="CN11" i="25"/>
  <c r="CL11" i="25"/>
  <c r="CK11" i="25"/>
  <c r="CJ11" i="25"/>
  <c r="CI11" i="25"/>
  <c r="CH11" i="25"/>
  <c r="CG11" i="25"/>
  <c r="CF11" i="25"/>
  <c r="CE11" i="25"/>
  <c r="CD11" i="25"/>
  <c r="CC11" i="25"/>
  <c r="CB11" i="25"/>
  <c r="BZ11" i="25"/>
  <c r="BY11" i="25"/>
  <c r="BX11" i="25"/>
  <c r="BW11" i="25"/>
  <c r="BV11" i="25"/>
  <c r="BU11" i="25"/>
  <c r="BT11" i="25"/>
  <c r="BS11" i="25"/>
  <c r="BR11" i="25"/>
  <c r="BQ11" i="25"/>
  <c r="BP11" i="25"/>
  <c r="BO11" i="25"/>
  <c r="BN11" i="25"/>
  <c r="BM11" i="25"/>
  <c r="BL11" i="25"/>
  <c r="BK11" i="25"/>
  <c r="BJ11" i="25"/>
  <c r="BI11" i="25"/>
  <c r="BH11" i="25"/>
  <c r="BG11" i="25"/>
  <c r="BF11" i="25"/>
  <c r="BE11" i="25"/>
  <c r="BD11" i="25"/>
  <c r="BB11" i="25"/>
  <c r="BA11" i="25"/>
  <c r="AZ11" i="25"/>
  <c r="AY11" i="25"/>
  <c r="AX11" i="25"/>
  <c r="AW11" i="25"/>
  <c r="AV11" i="25"/>
  <c r="AU11" i="25"/>
  <c r="AT11" i="25"/>
  <c r="AR11" i="25"/>
  <c r="AP11" i="25"/>
  <c r="AO11" i="25"/>
  <c r="AM11" i="25"/>
  <c r="AL11" i="25"/>
  <c r="AK11" i="25"/>
  <c r="AJ11" i="25"/>
  <c r="AI11" i="25"/>
  <c r="AH11" i="25"/>
  <c r="AG11" i="25"/>
  <c r="AF11" i="25"/>
  <c r="AE11" i="25"/>
  <c r="AD11" i="25"/>
  <c r="AB11" i="25"/>
  <c r="AA11" i="25"/>
  <c r="Z11" i="25"/>
  <c r="Y11" i="25"/>
  <c r="X11" i="25"/>
  <c r="W11" i="25"/>
  <c r="U11" i="25"/>
  <c r="T11" i="25"/>
  <c r="S11" i="25"/>
  <c r="R11" i="25"/>
  <c r="Q11" i="25"/>
  <c r="P11" i="25"/>
  <c r="N11" i="25"/>
  <c r="M11" i="25"/>
  <c r="L11" i="25"/>
  <c r="K11" i="25"/>
  <c r="J11" i="25"/>
  <c r="I11" i="25"/>
  <c r="H11" i="25"/>
  <c r="G11" i="25"/>
  <c r="F11" i="25"/>
  <c r="E11" i="25"/>
  <c r="D11" i="25"/>
  <c r="EK5" i="25"/>
  <c r="EL5" i="25" s="1"/>
  <c r="EM5" i="25" s="1"/>
  <c r="EN5" i="25" s="1"/>
  <c r="EO5" i="25" s="1"/>
  <c r="EP5" i="25" s="1"/>
  <c r="EQ5" i="25" s="1"/>
  <c r="ER5" i="25" s="1"/>
  <c r="ES5" i="25" s="1"/>
  <c r="ET5" i="25" s="1"/>
  <c r="EU5" i="25" s="1"/>
  <c r="EV5" i="25" s="1"/>
  <c r="EW5" i="25" s="1"/>
  <c r="EX5" i="25" s="1"/>
  <c r="EY5" i="25" s="1"/>
  <c r="EZ5" i="25" s="1"/>
  <c r="FA5" i="25" s="1"/>
  <c r="FB5" i="25" s="1"/>
  <c r="FC5" i="25" s="1"/>
  <c r="FD5" i="25" s="1"/>
  <c r="FE5" i="25" s="1"/>
  <c r="FF5" i="25" s="1"/>
  <c r="FG5" i="25" s="1"/>
  <c r="FH5" i="25" s="1"/>
  <c r="FI5" i="25" s="1"/>
  <c r="FJ5" i="25" s="1"/>
  <c r="FK5" i="25" s="1"/>
  <c r="FL5" i="25" s="1"/>
  <c r="FM5" i="25" s="1"/>
  <c r="FN5" i="25" s="1"/>
  <c r="FO5" i="25" s="1"/>
  <c r="FP5" i="25" s="1"/>
  <c r="FQ5" i="25" s="1"/>
  <c r="FR5" i="25" s="1"/>
  <c r="FS5" i="25" s="1"/>
  <c r="FT5" i="25" s="1"/>
  <c r="FU5" i="25" s="1"/>
  <c r="FV5" i="25" s="1"/>
  <c r="FW5" i="25" s="1"/>
  <c r="FX5" i="25" s="1"/>
  <c r="FY5" i="25" s="1"/>
  <c r="FZ5" i="25" s="1"/>
  <c r="GA5" i="25" s="1"/>
  <c r="GB5" i="25" s="1"/>
  <c r="GC5" i="25" s="1"/>
  <c r="GD5" i="25" s="1"/>
  <c r="GE5" i="25" s="1"/>
  <c r="C41" i="25" l="1"/>
  <c r="C38" i="25" s="1"/>
  <c r="C35" i="25" s="1"/>
  <c r="C31" i="25" s="1"/>
  <c r="C20" i="25" s="1"/>
  <c r="C10" i="25" s="1"/>
  <c r="FP55" i="25"/>
  <c r="DU11" i="25"/>
  <c r="FN55" i="25"/>
  <c r="FR55" i="25"/>
  <c r="FV55" i="25"/>
  <c r="FZ55" i="25"/>
  <c r="GD55" i="25"/>
  <c r="V11" i="25"/>
  <c r="V55" i="25" s="1"/>
  <c r="CM11" i="25"/>
  <c r="FL55" i="25"/>
  <c r="FT55" i="25"/>
  <c r="FX55" i="25"/>
  <c r="GB55" i="25"/>
  <c r="BL21" i="25"/>
  <c r="EX21" i="25"/>
  <c r="EX55" i="25" s="1"/>
  <c r="H21" i="25"/>
  <c r="G43" i="25"/>
  <c r="H42" i="25"/>
  <c r="L21" i="25"/>
  <c r="O11" i="25"/>
  <c r="O55" i="25" s="1"/>
  <c r="CJ21" i="25"/>
  <c r="CR21" i="25"/>
  <c r="DQ55" i="25"/>
  <c r="DU55" i="25"/>
  <c r="DY55" i="25"/>
  <c r="EC55" i="25"/>
  <c r="EG55" i="25"/>
  <c r="EK55" i="25"/>
  <c r="EO55" i="25"/>
  <c r="ES55" i="25"/>
  <c r="EW55" i="25"/>
  <c r="FA55" i="25"/>
  <c r="FE55" i="25"/>
  <c r="FI55" i="25"/>
  <c r="I55" i="25"/>
  <c r="K55" i="25"/>
  <c r="M55" i="25"/>
  <c r="Q55" i="25"/>
  <c r="S55" i="25"/>
  <c r="U55" i="25"/>
  <c r="W55" i="25"/>
  <c r="Y55" i="25"/>
  <c r="AA55" i="25"/>
  <c r="AC55" i="25"/>
  <c r="AE55" i="25"/>
  <c r="AG55" i="25"/>
  <c r="AI55" i="25"/>
  <c r="AK55" i="25"/>
  <c r="AM55" i="25"/>
  <c r="AO55" i="25"/>
  <c r="AQ55" i="25"/>
  <c r="AS55" i="25"/>
  <c r="AU55" i="25"/>
  <c r="AW55" i="25"/>
  <c r="AY55" i="25"/>
  <c r="BA55" i="25"/>
  <c r="BC55" i="25"/>
  <c r="BE55" i="25"/>
  <c r="BG55" i="25"/>
  <c r="BI55" i="25"/>
  <c r="BK55" i="25"/>
  <c r="BM55" i="25"/>
  <c r="BO55" i="25"/>
  <c r="BQ55" i="25"/>
  <c r="BS55" i="25"/>
  <c r="BU55" i="25"/>
  <c r="BW55" i="25"/>
  <c r="BY55" i="25"/>
  <c r="CA55" i="25"/>
  <c r="CC55" i="25"/>
  <c r="CE55" i="25"/>
  <c r="CG55" i="25"/>
  <c r="CI55" i="25"/>
  <c r="CK55" i="25"/>
  <c r="CO55" i="25"/>
  <c r="CQ55" i="25"/>
  <c r="CS55" i="25"/>
  <c r="CU55" i="25"/>
  <c r="CW55" i="25"/>
  <c r="CY55" i="25"/>
  <c r="DA55" i="25"/>
  <c r="DC55" i="25"/>
  <c r="DE55" i="25"/>
  <c r="DG55" i="25"/>
  <c r="DI55" i="25"/>
  <c r="DK55" i="25"/>
  <c r="DM55" i="25"/>
  <c r="DO55" i="25"/>
  <c r="DS55" i="25"/>
  <c r="DW55" i="25"/>
  <c r="EA55" i="25"/>
  <c r="EE55" i="25"/>
  <c r="EI55" i="25"/>
  <c r="EM55" i="25"/>
  <c r="EQ55" i="25"/>
  <c r="EU55" i="25"/>
  <c r="EY55" i="25"/>
  <c r="FC55" i="25"/>
  <c r="FG55" i="25"/>
  <c r="FK55" i="25"/>
  <c r="FM55" i="25"/>
  <c r="FO55" i="25"/>
  <c r="FQ55" i="25"/>
  <c r="FS55" i="25"/>
  <c r="FU55" i="25"/>
  <c r="FW55" i="25"/>
  <c r="FY55" i="25"/>
  <c r="GA55" i="25"/>
  <c r="GC55" i="25"/>
  <c r="GE55" i="25"/>
  <c r="H55" i="25"/>
  <c r="J55" i="25"/>
  <c r="L55" i="25"/>
  <c r="N55" i="25"/>
  <c r="P55" i="25"/>
  <c r="R55" i="25"/>
  <c r="T55" i="25"/>
  <c r="X55" i="25"/>
  <c r="Z55" i="25"/>
  <c r="AB55" i="25"/>
  <c r="AD55" i="25"/>
  <c r="AF55" i="25"/>
  <c r="AH55" i="25"/>
  <c r="AJ55" i="25"/>
  <c r="AL55" i="25"/>
  <c r="AN55" i="25"/>
  <c r="AP55" i="25"/>
  <c r="AR55" i="25"/>
  <c r="AT55" i="25"/>
  <c r="AV55" i="25"/>
  <c r="AX55" i="25"/>
  <c r="AZ55" i="25"/>
  <c r="BB55" i="25"/>
  <c r="BD55" i="25"/>
  <c r="BF55" i="25"/>
  <c r="BH55" i="25"/>
  <c r="BJ55" i="25"/>
  <c r="BL55" i="25"/>
  <c r="BN55" i="25"/>
  <c r="BP55" i="25"/>
  <c r="BR55" i="25"/>
  <c r="BT55" i="25"/>
  <c r="BV55" i="25"/>
  <c r="BX55" i="25"/>
  <c r="BZ55" i="25"/>
  <c r="CB55" i="25"/>
  <c r="CD55" i="25"/>
  <c r="CF55" i="25"/>
  <c r="CH55" i="25"/>
  <c r="CJ55" i="25"/>
  <c r="CL55" i="25"/>
  <c r="CN55" i="25"/>
  <c r="CP55" i="25"/>
  <c r="CR55" i="25"/>
  <c r="CT55" i="25"/>
  <c r="CV55" i="25"/>
  <c r="CX55" i="25"/>
  <c r="CZ55" i="25"/>
  <c r="DB55" i="25"/>
  <c r="DD55" i="25"/>
  <c r="DF55" i="25"/>
  <c r="DH55" i="25"/>
  <c r="DJ55" i="25"/>
  <c r="DL55" i="25"/>
  <c r="DN55" i="25"/>
  <c r="DP55" i="25"/>
  <c r="DR55" i="25"/>
  <c r="DT55" i="25"/>
  <c r="DV55" i="25"/>
  <c r="DX55" i="25"/>
  <c r="DZ55" i="25"/>
  <c r="EB55" i="25"/>
  <c r="ED55" i="25"/>
  <c r="EF55" i="25"/>
  <c r="EH55" i="25"/>
  <c r="EJ55" i="25"/>
  <c r="EL55" i="25"/>
  <c r="EN55" i="25"/>
  <c r="EP55" i="25"/>
  <c r="ER55" i="25"/>
  <c r="ET55" i="25"/>
  <c r="EV55" i="25"/>
  <c r="EZ55" i="25"/>
  <c r="FB55" i="25"/>
  <c r="FD55" i="25"/>
  <c r="FF55" i="25"/>
  <c r="FH55" i="25"/>
  <c r="FJ55" i="25"/>
  <c r="CM42" i="25"/>
  <c r="CM55" i="25" s="1"/>
  <c r="F43" i="25" l="1"/>
  <c r="G42" i="25"/>
  <c r="G55" i="25" s="1"/>
  <c r="E43" i="25" l="1"/>
  <c r="F42" i="25"/>
  <c r="F55" i="25" s="1"/>
  <c r="D43" i="25" l="1"/>
  <c r="E42" i="25"/>
  <c r="E55" i="25" s="1"/>
  <c r="D42" i="25" l="1"/>
  <c r="D55" i="25" s="1"/>
</calcChain>
</file>

<file path=xl/sharedStrings.xml><?xml version="1.0" encoding="utf-8"?>
<sst xmlns="http://schemas.openxmlformats.org/spreadsheetml/2006/main" count="618" uniqueCount="285">
  <si>
    <t>ХК</t>
  </si>
  <si>
    <t>ХХК</t>
  </si>
  <si>
    <t>ЗБН</t>
  </si>
  <si>
    <t>1.2.</t>
  </si>
  <si>
    <t>1.3.</t>
  </si>
  <si>
    <t>1.4.</t>
  </si>
  <si>
    <t>1.1.</t>
  </si>
  <si>
    <t>ТЄҮГ</t>
  </si>
  <si>
    <t>Сонсголог бармат</t>
  </si>
  <si>
    <t>СС монголия</t>
  </si>
  <si>
    <t>"Монгол чех металл" ХХК-ны тайлангийн 1ё хэсгийн 2-т зарцуулсан зардал нь америк доллараар /10100.0$/ болно</t>
  </si>
  <si>
    <t>"Толгойтын гол" ХХК-ны тайлангийн 1ё хэсгийн 2-т зарцуулсан зардал нь америк доллараар /1200.0$/ болно</t>
  </si>
  <si>
    <t xml:space="preserve">Тайлан гаргасан: </t>
  </si>
  <si>
    <t>Д.БАТТӨР</t>
  </si>
  <si>
    <t>Ш.УРТНАСАН</t>
  </si>
  <si>
    <t xml:space="preserve">ТӨРИЙН НАРИЙН БИЧГИЙН ДАРГА                                       ТӨРИЙН НАРИЙН БИЧГИЙН ДАРГА                                                                             </t>
  </si>
  <si>
    <t xml:space="preserve">САНГИЙН ЯАМНЫ  </t>
  </si>
  <si>
    <t>НЯГТЛАН БОДОХ БҮРТГЭЛИЙН БОДЛОГЫН</t>
  </si>
  <si>
    <t xml:space="preserve">ГАЗРЫН МЭРГЭЖИЛТЭН </t>
  </si>
  <si>
    <t xml:space="preserve"> </t>
  </si>
  <si>
    <t>Олборлох үйлдвэрлэл эрхэлж байгаа компаниас улсын болон орон</t>
  </si>
  <si>
    <t xml:space="preserve"> нутгийн төсөвт  төлсөн албан татвар, төлбөрийн 2008 оны ТАЙЛАН</t>
  </si>
  <si>
    <t>/ мянгачилсан /</t>
  </si>
  <si>
    <t>Дэс дугаар</t>
  </si>
  <si>
    <t>Регистр</t>
  </si>
  <si>
    <t>Аж ахуйн нэгжийн нэр</t>
  </si>
  <si>
    <t>Татварын алба</t>
  </si>
  <si>
    <t>Хариуцлагын хэлбэр</t>
  </si>
  <si>
    <t>1. Компаниас улсын болон орон нутгийн төсөвт төлсөн татвар, төлбөр</t>
  </si>
  <si>
    <t>Зааврын холбогдох хэсэг №</t>
  </si>
  <si>
    <t>Нийт татвар, төлбөрийн хэмжээ, мян.төг</t>
  </si>
  <si>
    <t>1а. Төлсөн татварууд</t>
  </si>
  <si>
    <t xml:space="preserve">Аж ахуйн нэгжийн орлогын албан татвар </t>
  </si>
  <si>
    <t xml:space="preserve">Гаалийн албан татвар              </t>
  </si>
  <si>
    <t>Зарим бүтээгдэхүүний үнийн өсөлтийн албан татвар</t>
  </si>
  <si>
    <t xml:space="preserve">Үл хөдлөх хөрөнгийн албан татвар              </t>
  </si>
  <si>
    <t>Онцгой албан татвар (шатах тослох материал импортолсон бол)</t>
  </si>
  <si>
    <t xml:space="preserve">Автобензин, дизелийн түлшний албан татвар </t>
  </si>
  <si>
    <t>Автотээвэр, өөрөө явагч хэрэгслийн албан татвар</t>
  </si>
  <si>
    <t>Бусад татвар мөнгөн дүнгээр</t>
  </si>
  <si>
    <t>1б. Төлбөр</t>
  </si>
  <si>
    <t>Ашигт малтмалын нөөц ашигласны төлбөр</t>
  </si>
  <si>
    <t xml:space="preserve">Ашигт малтмалын ашиглалтын болон хайгуулын тусгай зөвшөөрлийн төлбөр              </t>
  </si>
  <si>
    <t xml:space="preserve">Ашигт малтмалын ашиглалтын болон хайгуулын тусгай зөвшөөрлийн төлбөр  /доллар/           </t>
  </si>
  <si>
    <t>Улсын төсвийн хөрөнгөөр хайгуул хийсэн ордын нөхөн төлбөр</t>
  </si>
  <si>
    <t>Газрын төлбөр</t>
  </si>
  <si>
    <t>Ус, рашаан ашигласны төлбөр</t>
  </si>
  <si>
    <t>Ойгоос хэрэглээний мод, түлээ бэлтгэж ашигласны төлбөр</t>
  </si>
  <si>
    <t>Гадаадын мэргэжилтэн, ажилчны ажлын байрны төлбөр</t>
  </si>
  <si>
    <t>Түгээмэл тархацтай ашигт малтмалын нөөц ашигласны төлбөр</t>
  </si>
  <si>
    <t>Бусад/доллар/</t>
  </si>
  <si>
    <t>1в. Хураамж, үйлчилгээний хөлс</t>
  </si>
  <si>
    <t>Зохих хууль тогтоомжийн дагуу төв, орон нутгийн төрийн захиргааны байгууллагад төлсөн улсын тэмдэгтийн хураамж, бусад хураамж</t>
  </si>
  <si>
    <t>Зохих хууль тогтоомжийн дагуу төв, орон нутгийн төрийн захиргааны байгууллагад төлсөн үйлчилгээний хөлс</t>
  </si>
  <si>
    <t>Гаалийн үйлчилгээний хураамж</t>
  </si>
  <si>
    <t>1г. Төрийн болон орон нутгийн өмчийн ногдол ашиг</t>
  </si>
  <si>
    <t>Төрийн өмчийн ногдол ашиг</t>
  </si>
  <si>
    <t>Орон нутгийн өмчийн ногдол ашиг</t>
  </si>
  <si>
    <t>1д. Хүлээн авагч Засгийн газарт төлсөн бусад төлбөрүүд</t>
  </si>
  <si>
    <t>Бүтээгдэхүүн хуваах гэрээ бүхий  аж ахуйн нэгжийн Засгийн газарт ногдох бүтээгдэхүүний оронд төлсөн төлбөр /доллар/</t>
  </si>
  <si>
    <t>Бусад</t>
  </si>
  <si>
    <t>1е. Төрийн  байгууллагад үзүүлсэн дэмжлэг</t>
  </si>
  <si>
    <t>ААН-ээс яам, агентлаг үзүүлсэн мөнгөн дэмжлэг</t>
  </si>
  <si>
    <t>ААН-ээс аймагт үзүүлсэн мөнгөн дэмжлэг</t>
  </si>
  <si>
    <t>ААН-ээс суманд үзүүлсэн мөнгөн дэмжлэг</t>
  </si>
  <si>
    <t>ААН-ээс орон нутгийн байгуулагад үзүүлсэн мөнгөн дэмжлэг</t>
  </si>
  <si>
    <t>ААН-ээс орон нутгийн харилцаа, тогтвортой хөгжилд зарцуулсан хөрөнгө</t>
  </si>
  <si>
    <t>1ё.Байгаль хамгаалах үйл ажиллагаанд зарцуулсан зардал</t>
  </si>
  <si>
    <t>Байгаль хамгаалах зардлын 50 хувийг тусгай дансанд төвлөрүүлсан байдал</t>
  </si>
  <si>
    <t>Байгаль хамгаалах арга хэмжээнд зарцуулсан зардал</t>
  </si>
  <si>
    <r>
      <t xml:space="preserve">Хамрах хүрээ 2. Ашиг орлогын урсгал                            </t>
    </r>
    <r>
      <rPr>
        <sz val="11"/>
        <rFont val="Arial"/>
        <family val="2"/>
      </rPr>
      <t>/Сайн дурын тайлан/</t>
    </r>
  </si>
  <si>
    <t xml:space="preserve">2. Ашиг, орлогын гүйлгээнүүд </t>
  </si>
  <si>
    <t>Гэрээ, тодорхой нөхцлөөр хөнгөлсөн, чөлөөлсөн татварын дүн</t>
  </si>
  <si>
    <t>Өүякөаней</t>
  </si>
  <si>
    <t>Дамбат</t>
  </si>
  <si>
    <t>Жи энд Юу голд</t>
  </si>
  <si>
    <t>Золотоя корона</t>
  </si>
  <si>
    <t>Рэдхилмонголия</t>
  </si>
  <si>
    <t>ОДЦЭ</t>
  </si>
  <si>
    <t>Полоресорсез</t>
  </si>
  <si>
    <t>Хилийн цэргийн 0119-р анги</t>
  </si>
  <si>
    <t>ХОТУ</t>
  </si>
  <si>
    <t>Төгрөг нуурын энержи</t>
  </si>
  <si>
    <t>Тээлийн шонхор</t>
  </si>
  <si>
    <t>Эрдэнэт</t>
  </si>
  <si>
    <t>Эм Жи Би</t>
  </si>
  <si>
    <t>Эх дэлхий шинтай</t>
  </si>
  <si>
    <t>Аврага тосон хэнтий</t>
  </si>
  <si>
    <t>Авдарбаян</t>
  </si>
  <si>
    <t>Адамасмайниниг</t>
  </si>
  <si>
    <t>Ай Эс Ти констракшн</t>
  </si>
  <si>
    <t>Айвенхоу майнз монголия инк</t>
  </si>
  <si>
    <t>Алтайголд</t>
  </si>
  <si>
    <t>Алтан шагай</t>
  </si>
  <si>
    <t>Алтандорнод монгол</t>
  </si>
  <si>
    <t>Алтанхөмрөг инвэст</t>
  </si>
  <si>
    <t>Аниш</t>
  </si>
  <si>
    <t>Анхай интернэшнл</t>
  </si>
  <si>
    <t>Арвин хад</t>
  </si>
  <si>
    <t>Ариун-Өрнөх</t>
  </si>
  <si>
    <t>АУМ</t>
  </si>
  <si>
    <t>АШБ</t>
  </si>
  <si>
    <t>Багануур</t>
  </si>
  <si>
    <t>Барилга-Орд</t>
  </si>
  <si>
    <t>Баруун Монголын металл</t>
  </si>
  <si>
    <t>Бат-Адар</t>
  </si>
  <si>
    <t>Бат-Алт төв</t>
  </si>
  <si>
    <t>Баялаг газар</t>
  </si>
  <si>
    <t>Баялаг-Орд</t>
  </si>
  <si>
    <t>Баянтэгш импекс</t>
  </si>
  <si>
    <t>Баянтээг</t>
  </si>
  <si>
    <t>Баян-Эрдэс</t>
  </si>
  <si>
    <t>Би Би энд Эс</t>
  </si>
  <si>
    <t>Болд төмөр ерөө гол</t>
  </si>
  <si>
    <t>Бороогоулд</t>
  </si>
  <si>
    <t>Буд-Инвест</t>
  </si>
  <si>
    <t>Булган-Инвест</t>
  </si>
  <si>
    <t>Бэрлэг майнинг</t>
  </si>
  <si>
    <t>Бэрх-Уул</t>
  </si>
  <si>
    <t>Гацуурт</t>
  </si>
  <si>
    <t>Гоби коул энд энержи</t>
  </si>
  <si>
    <t>Голдентайга</t>
  </si>
  <si>
    <t>Гүнбилэг трейд</t>
  </si>
  <si>
    <t>Гуравт</t>
  </si>
  <si>
    <t>Гурван төхөм</t>
  </si>
  <si>
    <t>Гэрэлт-Орд</t>
  </si>
  <si>
    <t>Дархан-Алтан туул</t>
  </si>
  <si>
    <t>Дархан-Эрдэнэ бүрэн</t>
  </si>
  <si>
    <t>Дацантрейд</t>
  </si>
  <si>
    <t>Ди Зэт энд Ай</t>
  </si>
  <si>
    <t>Дунар-Од</t>
  </si>
  <si>
    <t>Дун-Эрдэнэ</t>
  </si>
  <si>
    <t>Дэвшил-Увс</t>
  </si>
  <si>
    <t>Жамп</t>
  </si>
  <si>
    <t>Жинхуа орд</t>
  </si>
  <si>
    <t>Чингэлтэй</t>
  </si>
  <si>
    <t>Сүхбаатар дүүрэг</t>
  </si>
  <si>
    <t>Баянгол</t>
  </si>
  <si>
    <t>Ховд</t>
  </si>
  <si>
    <t>Сонгинохайрхан</t>
  </si>
  <si>
    <t>УТОХГ</t>
  </si>
  <si>
    <t>Хэнтий</t>
  </si>
  <si>
    <t>Баянзүрх</t>
  </si>
  <si>
    <t>Нийслэлийн татварын газар</t>
  </si>
  <si>
    <t>Дорноговь</t>
  </si>
  <si>
    <t>Баянхонгор</t>
  </si>
  <si>
    <t>Өвөрхангай</t>
  </si>
  <si>
    <t>Дархан</t>
  </si>
  <si>
    <t>Дархан-Уул</t>
  </si>
  <si>
    <t>Налайх</t>
  </si>
  <si>
    <t>Дорнод</t>
  </si>
  <si>
    <t>Увс</t>
  </si>
  <si>
    <t>ЖМЭ</t>
  </si>
  <si>
    <t>Жунзэнь</t>
  </si>
  <si>
    <t>Зоосгоулд</t>
  </si>
  <si>
    <t>Зүрийн булан</t>
  </si>
  <si>
    <t>Идэрхайрхан</t>
  </si>
  <si>
    <t>Илчит металл</t>
  </si>
  <si>
    <t>Их өвөлжөө</t>
  </si>
  <si>
    <t>Их хан уул</t>
  </si>
  <si>
    <t>Кайнарвольфрам</t>
  </si>
  <si>
    <t>Кенже</t>
  </si>
  <si>
    <t>Коулдголд монгол</t>
  </si>
  <si>
    <t>МБГЦ</t>
  </si>
  <si>
    <t>МЕС</t>
  </si>
  <si>
    <t>Миндуотайди</t>
  </si>
  <si>
    <t>Мираифлюорид</t>
  </si>
  <si>
    <t>Могойн гол</t>
  </si>
  <si>
    <t>Мон-Ажнай</t>
  </si>
  <si>
    <t>Монвольфрам</t>
  </si>
  <si>
    <t>Монгол керамик</t>
  </si>
  <si>
    <t>Монгол-Алт</t>
  </si>
  <si>
    <t>Монголболгаргео</t>
  </si>
  <si>
    <t>Монгол газар</t>
  </si>
  <si>
    <t>Монголрос-цветмет</t>
  </si>
  <si>
    <t>Монгол цамхаг</t>
  </si>
  <si>
    <t>Монгол чех металл</t>
  </si>
  <si>
    <t>Монголын Алт мак</t>
  </si>
  <si>
    <t>Монголын гэгээ</t>
  </si>
  <si>
    <t>Мондулаан трейд</t>
  </si>
  <si>
    <t>Монполимет</t>
  </si>
  <si>
    <t>Монроспром уголь</t>
  </si>
  <si>
    <t>Монтриумф</t>
  </si>
  <si>
    <t>Мон-Элс</t>
  </si>
  <si>
    <t>Морьтхангай</t>
  </si>
  <si>
    <t>Мөнхлуу</t>
  </si>
  <si>
    <t>Найнги</t>
  </si>
  <si>
    <t>Ноён тохой трейд</t>
  </si>
  <si>
    <t>Нордвинд</t>
  </si>
  <si>
    <t>Ордтрейд</t>
  </si>
  <si>
    <t>Өрмөн-Уул</t>
  </si>
  <si>
    <t>Өсөн</t>
  </si>
  <si>
    <t>Паурлэнд</t>
  </si>
  <si>
    <t>Ричмөнх</t>
  </si>
  <si>
    <t>Сартах</t>
  </si>
  <si>
    <t>Скарн</t>
  </si>
  <si>
    <t>Сонортрейд</t>
  </si>
  <si>
    <t>Сидсо</t>
  </si>
  <si>
    <t>Сүйхэнт</t>
  </si>
  <si>
    <t>Таван шүтээн трейд</t>
  </si>
  <si>
    <t>Тал булаг трейд</t>
  </si>
  <si>
    <t>Тод ундарга</t>
  </si>
  <si>
    <t>Толгойтын гол</t>
  </si>
  <si>
    <t>Төв азийн уран</t>
  </si>
  <si>
    <t>Төсөлч</t>
  </si>
  <si>
    <t>Түмэн-Анд</t>
  </si>
  <si>
    <t>Тун Синь</t>
  </si>
  <si>
    <t>Тэвшийн говь</t>
  </si>
  <si>
    <t>Тэгшхан</t>
  </si>
  <si>
    <t>Тэн Хун</t>
  </si>
  <si>
    <t>Тэнүүн байгаль</t>
  </si>
  <si>
    <t>Улаанначин</t>
  </si>
  <si>
    <t>Хан-Уул</t>
  </si>
  <si>
    <t>Баян-Өлгий</t>
  </si>
  <si>
    <t>Хөвсгөл</t>
  </si>
  <si>
    <t>Төв</t>
  </si>
  <si>
    <t xml:space="preserve">Баянзүрх </t>
  </si>
  <si>
    <t>Орхон</t>
  </si>
  <si>
    <t>Сонгинлхайрхан</t>
  </si>
  <si>
    <t>Сэлэнгэ</t>
  </si>
  <si>
    <t>Дундговь</t>
  </si>
  <si>
    <r>
      <t>Улз гол</t>
    </r>
    <r>
      <rPr>
        <sz val="11"/>
        <rFont val="Calibri"/>
        <family val="2"/>
      </rPr>
      <t xml:space="preserve"> </t>
    </r>
  </si>
  <si>
    <t>Үнэт металл</t>
  </si>
  <si>
    <t>Уулс заамар</t>
  </si>
  <si>
    <t>Үүрт гоулд</t>
  </si>
  <si>
    <t>Хаангарди</t>
  </si>
  <si>
    <t>Хан шижир</t>
  </si>
  <si>
    <t>Ханхас трейд</t>
  </si>
  <si>
    <t>Хоргын чулуу</t>
  </si>
  <si>
    <t>Хорих 443-р анги</t>
  </si>
  <si>
    <t>Хотгор</t>
  </si>
  <si>
    <t>Хотол дэгжих</t>
  </si>
  <si>
    <t>Хуа Лян</t>
  </si>
  <si>
    <t>Хүдэр-Эрдэнэ</t>
  </si>
  <si>
    <t>Хунан</t>
  </si>
  <si>
    <t>Хунанжинлэн</t>
  </si>
  <si>
    <t>Хурай</t>
  </si>
  <si>
    <t>Хүслэмж</t>
  </si>
  <si>
    <t>Цайртминерал</t>
  </si>
  <si>
    <t>ЦДЦ</t>
  </si>
  <si>
    <t>Цемент шохой</t>
  </si>
  <si>
    <t>Цогт-Онон</t>
  </si>
  <si>
    <t>Цэвдэг</t>
  </si>
  <si>
    <t>Чайлдсан</t>
  </si>
  <si>
    <t>Чингэлбөөн цагаан</t>
  </si>
  <si>
    <t>Чулуут интернэшнл</t>
  </si>
  <si>
    <t>Шагай</t>
  </si>
  <si>
    <t>Шанлун</t>
  </si>
  <si>
    <t>Шар нарст</t>
  </si>
  <si>
    <t>Шарын гол</t>
  </si>
  <si>
    <t>Шидэт-Од</t>
  </si>
  <si>
    <t>Шижир-Алт</t>
  </si>
  <si>
    <t>Шижир талст</t>
  </si>
  <si>
    <t>Шинь Шинь</t>
  </si>
  <si>
    <t>ШТН</t>
  </si>
  <si>
    <t>ШШГЕГ-ын 439-р анги</t>
  </si>
  <si>
    <t>Эж-Эрдэнэ</t>
  </si>
  <si>
    <t>Элтрана</t>
  </si>
  <si>
    <t>Энгүйтал</t>
  </si>
  <si>
    <t>Эрвэн хүдэр</t>
  </si>
  <si>
    <t>Эрдэс-Увс</t>
  </si>
  <si>
    <t>Эрдэс холдинг</t>
  </si>
  <si>
    <t>Эрчим Импекс</t>
  </si>
  <si>
    <t>Эрэл</t>
  </si>
  <si>
    <t>Эхийн сэтгэл</t>
  </si>
  <si>
    <t>Ю энд Би</t>
  </si>
  <si>
    <t>Ялгуун интернэшнл</t>
  </si>
  <si>
    <t>Петрочайна дачин тамсаг</t>
  </si>
  <si>
    <t>Тавантолгой</t>
  </si>
  <si>
    <t>Эрдмин</t>
  </si>
  <si>
    <t>Чинхуа мак нарийн сухайт</t>
  </si>
  <si>
    <t>Шим технологи</t>
  </si>
  <si>
    <t>Адуунчулуун</t>
  </si>
  <si>
    <t>Бүүргэнт</t>
  </si>
  <si>
    <t>Шивээ-Овоо</t>
  </si>
  <si>
    <t>Эрхэс майнинг</t>
  </si>
  <si>
    <t>Кей Ар</t>
  </si>
  <si>
    <t>Тефис майнинг</t>
  </si>
  <si>
    <t>Аниан ресориз</t>
  </si>
  <si>
    <t>Петро матад</t>
  </si>
  <si>
    <t>Доншен газрын тос</t>
  </si>
  <si>
    <t>Говьсүмбэр</t>
  </si>
  <si>
    <t>НТГ</t>
  </si>
  <si>
    <t>Хоршоо</t>
  </si>
  <si>
    <t>ТӨҮГ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</si>
</sst>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</numFmts>
  <fonts count="20" x14ac:knownFonts="1">
    <font>
      <sz val="10"/>
      <name val="Arial"/>
    </font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sz val="11"/>
      <name val="Arial"/>
      <family val="2"/>
    </font>
    <font>
      <sz val="7"/>
      <name val="Arial"/>
      <family val="2"/>
    </font>
    <font>
      <sz val="11"/>
      <name val="Calibri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0" applyFont="1"/>
    <xf numFmtId="164" fontId="2" fillId="0" borderId="0" xfId="1" applyFont="1" applyFill="1"/>
    <xf numFmtId="164" fontId="3" fillId="0" borderId="2" xfId="1" applyFont="1" applyFill="1" applyBorder="1"/>
    <xf numFmtId="0" fontId="2" fillId="0" borderId="0" xfId="0" applyFont="1" applyBorder="1"/>
    <xf numFmtId="164" fontId="3" fillId="0" borderId="0" xfId="1" applyFont="1" applyFill="1" applyAlignment="1">
      <alignment vertical="center"/>
    </xf>
    <xf numFmtId="164" fontId="4" fillId="0" borderId="0" xfId="1" applyFont="1" applyFill="1" applyAlignment="1">
      <alignment vertical="center"/>
    </xf>
    <xf numFmtId="164" fontId="4" fillId="0" borderId="0" xfId="1" applyFont="1" applyFill="1"/>
    <xf numFmtId="166" fontId="5" fillId="0" borderId="1" xfId="1" applyNumberFormat="1" applyFont="1" applyFill="1" applyBorder="1" applyAlignment="1">
      <alignment horizontal="center" vertical="center"/>
    </xf>
    <xf numFmtId="166" fontId="5" fillId="0" borderId="1" xfId="1" applyNumberFormat="1" applyFont="1" applyFill="1" applyBorder="1" applyAlignment="1">
      <alignment horizontal="center" vertical="center" wrapText="1"/>
    </xf>
    <xf numFmtId="166" fontId="6" fillId="0" borderId="1" xfId="1" applyNumberFormat="1" applyFont="1" applyFill="1" applyBorder="1" applyAlignment="1">
      <alignment horizontal="center" vertical="center"/>
    </xf>
    <xf numFmtId="166" fontId="5" fillId="0" borderId="1" xfId="1" applyNumberFormat="1" applyFont="1" applyFill="1" applyBorder="1" applyAlignment="1">
      <alignment horizontal="center"/>
    </xf>
    <xf numFmtId="164" fontId="4" fillId="0" borderId="0" xfId="1" applyFont="1" applyFill="1" applyAlignment="1">
      <alignment horizontal="center"/>
    </xf>
    <xf numFmtId="1" fontId="6" fillId="0" borderId="1" xfId="1" applyNumberFormat="1" applyFont="1" applyFill="1" applyBorder="1" applyAlignment="1">
      <alignment horizontal="center" vertical="center" wrapText="1"/>
    </xf>
    <xf numFmtId="1" fontId="5" fillId="0" borderId="1" xfId="1" applyNumberFormat="1" applyFont="1" applyFill="1" applyBorder="1" applyAlignment="1">
      <alignment horizontal="center" vertical="center" wrapText="1"/>
    </xf>
    <xf numFmtId="1" fontId="6" fillId="0" borderId="1" xfId="1" applyNumberFormat="1" applyFont="1" applyFill="1" applyBorder="1" applyAlignment="1">
      <alignment horizontal="center" vertical="center"/>
    </xf>
    <xf numFmtId="1" fontId="5" fillId="0" borderId="1" xfId="1" applyNumberFormat="1" applyFont="1" applyFill="1" applyBorder="1" applyAlignment="1">
      <alignment horizontal="center" vertical="center"/>
    </xf>
    <xf numFmtId="1" fontId="4" fillId="0" borderId="0" xfId="1" applyNumberFormat="1" applyFont="1" applyFill="1"/>
    <xf numFmtId="164" fontId="6" fillId="0" borderId="1" xfId="1" applyFont="1" applyFill="1" applyBorder="1" applyAlignment="1">
      <alignment horizontal="center" vertical="center" wrapText="1"/>
    </xf>
    <xf numFmtId="164" fontId="7" fillId="0" borderId="1" xfId="1" applyFont="1" applyFill="1" applyBorder="1" applyAlignment="1">
      <alignment horizontal="center" vertical="center" wrapText="1"/>
    </xf>
    <xf numFmtId="164" fontId="8" fillId="0" borderId="1" xfId="1" applyFont="1" applyFill="1" applyBorder="1" applyAlignment="1">
      <alignment horizontal="center" vertical="center"/>
    </xf>
    <xf numFmtId="164" fontId="7" fillId="2" borderId="1" xfId="1" applyFont="1" applyFill="1" applyBorder="1" applyAlignment="1">
      <alignment horizontal="right" vertical="center" wrapText="1"/>
    </xf>
    <xf numFmtId="164" fontId="4" fillId="2" borderId="1" xfId="1" applyFont="1" applyFill="1" applyBorder="1" applyAlignment="1">
      <alignment horizontal="right" vertical="center" wrapText="1"/>
    </xf>
    <xf numFmtId="164" fontId="12" fillId="2" borderId="1" xfId="1" applyFont="1" applyFill="1" applyBorder="1" applyAlignment="1">
      <alignment vertical="center"/>
    </xf>
    <xf numFmtId="164" fontId="6" fillId="0" borderId="1" xfId="1" applyFont="1" applyFill="1" applyBorder="1" applyAlignment="1">
      <alignment horizontal="right" vertical="center" wrapText="1"/>
    </xf>
    <xf numFmtId="165" fontId="6" fillId="0" borderId="1" xfId="1" applyNumberFormat="1" applyFont="1" applyFill="1" applyBorder="1" applyAlignment="1">
      <alignment horizontal="right" vertical="center" wrapText="1"/>
    </xf>
    <xf numFmtId="164" fontId="5" fillId="0" borderId="0" xfId="1" applyFont="1" applyFill="1"/>
    <xf numFmtId="164" fontId="4" fillId="0" borderId="1" xfId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vertical="center" wrapText="1"/>
    </xf>
    <xf numFmtId="164" fontId="7" fillId="0" borderId="1" xfId="1" applyFont="1" applyFill="1" applyBorder="1" applyAlignment="1">
      <alignment horizontal="right" vertical="center" wrapText="1"/>
    </xf>
    <xf numFmtId="165" fontId="7" fillId="0" borderId="1" xfId="1" applyNumberFormat="1" applyFont="1" applyFill="1" applyBorder="1" applyAlignment="1">
      <alignment horizontal="right" vertical="center" wrapText="1"/>
    </xf>
    <xf numFmtId="164" fontId="4" fillId="0" borderId="1" xfId="1" applyFont="1" applyFill="1" applyBorder="1" applyAlignment="1">
      <alignment horizontal="right" vertical="center" wrapText="1"/>
    </xf>
    <xf numFmtId="165" fontId="4" fillId="0" borderId="1" xfId="1" applyNumberFormat="1" applyFont="1" applyFill="1" applyBorder="1" applyAlignment="1">
      <alignment horizontal="right" vertical="center" wrapText="1"/>
    </xf>
    <xf numFmtId="164" fontId="7" fillId="0" borderId="1" xfId="1" applyNumberFormat="1" applyFont="1" applyFill="1" applyBorder="1" applyAlignment="1">
      <alignment horizontal="right" vertical="center" wrapText="1"/>
    </xf>
    <xf numFmtId="164" fontId="7" fillId="4" borderId="1" xfId="1" applyFont="1" applyFill="1" applyBorder="1" applyAlignment="1">
      <alignment horizontal="right" vertical="center" wrapText="1"/>
    </xf>
    <xf numFmtId="164" fontId="4" fillId="0" borderId="1" xfId="1" applyFont="1" applyFill="1" applyBorder="1" applyAlignment="1">
      <alignment horizontal="right" vertical="center"/>
    </xf>
    <xf numFmtId="164" fontId="5" fillId="0" borderId="1" xfId="1" applyFont="1" applyFill="1" applyBorder="1" applyAlignment="1">
      <alignment vertical="center"/>
    </xf>
    <xf numFmtId="164" fontId="4" fillId="3" borderId="1" xfId="1" applyFont="1" applyFill="1" applyBorder="1" applyAlignment="1">
      <alignment horizontal="right" vertical="center"/>
    </xf>
    <xf numFmtId="165" fontId="5" fillId="0" borderId="1" xfId="1" applyNumberFormat="1" applyFont="1" applyFill="1" applyBorder="1" applyAlignment="1">
      <alignment vertical="center"/>
    </xf>
    <xf numFmtId="164" fontId="5" fillId="0" borderId="1" xfId="1" applyFont="1" applyFill="1" applyBorder="1" applyAlignment="1">
      <alignment vertical="center" wrapText="1"/>
    </xf>
    <xf numFmtId="164" fontId="5" fillId="0" borderId="1" xfId="1" applyFont="1" applyFill="1" applyBorder="1" applyAlignment="1">
      <alignment horizontal="right" vertical="center"/>
    </xf>
    <xf numFmtId="165" fontId="5" fillId="0" borderId="1" xfId="1" applyNumberFormat="1" applyFont="1" applyFill="1" applyBorder="1" applyAlignment="1">
      <alignment horizontal="right" vertical="center"/>
    </xf>
    <xf numFmtId="165" fontId="4" fillId="0" borderId="1" xfId="1" applyNumberFormat="1" applyFont="1" applyFill="1" applyBorder="1" applyAlignment="1">
      <alignment horizontal="right" vertical="center"/>
    </xf>
    <xf numFmtId="164" fontId="14" fillId="0" borderId="0" xfId="1" applyFont="1" applyFill="1" applyAlignment="1">
      <alignment horizontal="center" vertical="top" wrapText="1"/>
    </xf>
    <xf numFmtId="164" fontId="14" fillId="0" borderId="0" xfId="1" applyFont="1" applyFill="1" applyAlignment="1">
      <alignment horizontal="center" vertical="center" wrapText="1"/>
    </xf>
    <xf numFmtId="164" fontId="5" fillId="0" borderId="3" xfId="1" applyFont="1" applyFill="1" applyBorder="1"/>
    <xf numFmtId="0" fontId="10" fillId="0" borderId="0" xfId="0" applyFont="1" applyAlignment="1">
      <alignment vertical="center"/>
    </xf>
    <xf numFmtId="0" fontId="15" fillId="0" borderId="0" xfId="0" applyFont="1"/>
    <xf numFmtId="0" fontId="1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0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9" xfId="0" applyFont="1" applyBorder="1" applyAlignment="1">
      <alignment vertical="center" wrapText="1"/>
    </xf>
    <xf numFmtId="0" fontId="5" fillId="0" borderId="10" xfId="0" applyFont="1" applyBorder="1" applyAlignment="1">
      <alignment horizontal="right" vertical="center" wrapText="1"/>
    </xf>
    <xf numFmtId="0" fontId="17" fillId="0" borderId="10" xfId="0" applyFont="1" applyBorder="1" applyAlignment="1">
      <alignment horizontal="right" vertical="center" wrapText="1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8" fillId="0" borderId="9" xfId="0" applyFont="1" applyBorder="1" applyAlignment="1">
      <alignment vertical="center" wrapText="1"/>
    </xf>
    <xf numFmtId="0" fontId="18" fillId="0" borderId="8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right" vertical="center"/>
    </xf>
    <xf numFmtId="0" fontId="4" fillId="0" borderId="7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16" fontId="5" fillId="0" borderId="9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5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6" fillId="0" borderId="13" xfId="0" applyFont="1" applyBorder="1" applyAlignment="1">
      <alignment vertical="center" wrapText="1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19" fillId="0" borderId="14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F61"/>
  <sheetViews>
    <sheetView tabSelected="1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FE10" sqref="FE10"/>
    </sheetView>
  </sheetViews>
  <sheetFormatPr defaultColWidth="12.28515625" defaultRowHeight="12.75" x14ac:dyDescent="0.2"/>
  <cols>
    <col min="1" max="1" width="56.5703125" style="7" customWidth="1"/>
    <col min="2" max="2" width="7.140625" style="7" customWidth="1"/>
    <col min="3" max="3" width="18.5703125" style="7" customWidth="1"/>
    <col min="4" max="6" width="12.28515625" style="7" customWidth="1"/>
    <col min="7" max="7" width="14.140625" style="7" customWidth="1"/>
    <col min="8" max="8" width="13.5703125" style="7" customWidth="1"/>
    <col min="9" max="9" width="12.28515625" style="7" customWidth="1"/>
    <col min="10" max="10" width="15.140625" style="7" customWidth="1"/>
    <col min="11" max="11" width="15.7109375" style="7" customWidth="1"/>
    <col min="12" max="12" width="12.28515625" style="7" customWidth="1"/>
    <col min="13" max="13" width="15.140625" style="7" customWidth="1"/>
    <col min="14" max="14" width="14.7109375" style="7" customWidth="1"/>
    <col min="15" max="15" width="14.5703125" style="7" customWidth="1"/>
    <col min="16" max="19" width="12.28515625" style="7" customWidth="1"/>
    <col min="20" max="20" width="18" style="7" customWidth="1"/>
    <col min="21" max="21" width="14.28515625" style="7" customWidth="1"/>
    <col min="22" max="22" width="13.7109375" style="7" customWidth="1"/>
    <col min="23" max="23" width="13.5703125" style="7" customWidth="1"/>
    <col min="24" max="25" width="13.7109375" style="7" customWidth="1"/>
    <col min="26" max="26" width="14.28515625" style="7" customWidth="1"/>
    <col min="27" max="27" width="15.140625" style="7" customWidth="1"/>
    <col min="28" max="28" width="12.7109375" style="7" customWidth="1"/>
    <col min="29" max="29" width="12.28515625" style="7" customWidth="1"/>
    <col min="30" max="30" width="15.42578125" style="7" customWidth="1"/>
    <col min="31" max="31" width="13.28515625" style="7" customWidth="1"/>
    <col min="32" max="32" width="15.5703125" style="7" customWidth="1"/>
    <col min="33" max="33" width="13.140625" style="7" customWidth="1"/>
    <col min="34" max="34" width="14.28515625" style="7" customWidth="1"/>
    <col min="35" max="35" width="15.5703125" style="7" customWidth="1"/>
    <col min="36" max="36" width="12.28515625" style="7" customWidth="1"/>
    <col min="37" max="37" width="13.140625" style="7" customWidth="1"/>
    <col min="38" max="43" width="12.28515625" style="7" customWidth="1"/>
    <col min="44" max="44" width="13.28515625" style="7" customWidth="1"/>
    <col min="45" max="45" width="14" style="7" customWidth="1"/>
    <col min="46" max="48" width="12.28515625" style="7" customWidth="1"/>
    <col min="49" max="49" width="13.42578125" style="7" customWidth="1"/>
    <col min="50" max="50" width="13.5703125" style="7" customWidth="1"/>
    <col min="51" max="51" width="14" style="7" customWidth="1"/>
    <col min="52" max="52" width="15.42578125" style="7" customWidth="1"/>
    <col min="53" max="53" width="13.28515625" style="7" customWidth="1"/>
    <col min="54" max="54" width="13.140625" style="7" customWidth="1"/>
    <col min="55" max="55" width="13.42578125" style="7" customWidth="1"/>
    <col min="56" max="58" width="12.28515625" style="7" customWidth="1"/>
    <col min="59" max="59" width="13.5703125" style="7" customWidth="1"/>
    <col min="60" max="60" width="14.7109375" style="7" customWidth="1"/>
    <col min="61" max="61" width="13.7109375" style="7" customWidth="1"/>
    <col min="62" max="62" width="12.28515625" style="7" customWidth="1"/>
    <col min="63" max="63" width="12.7109375" style="7" customWidth="1"/>
    <col min="64" max="68" width="12.28515625" style="7" customWidth="1"/>
    <col min="69" max="69" width="13.85546875" style="7" customWidth="1"/>
    <col min="70" max="70" width="13.28515625" style="7" customWidth="1"/>
    <col min="71" max="72" width="13" style="7" customWidth="1"/>
    <col min="73" max="73" width="12.85546875" style="7" customWidth="1"/>
    <col min="74" max="74" width="13" style="7" customWidth="1"/>
    <col min="75" max="75" width="12.28515625" style="7" customWidth="1"/>
    <col min="76" max="76" width="14.140625" style="7" customWidth="1"/>
    <col min="77" max="77" width="12.28515625" style="7" customWidth="1"/>
    <col min="78" max="78" width="14.7109375" style="7" customWidth="1"/>
    <col min="79" max="79" width="13.7109375" style="7" customWidth="1"/>
    <col min="80" max="80" width="14.140625" style="7" customWidth="1"/>
    <col min="81" max="81" width="13.85546875" style="7" customWidth="1"/>
    <col min="82" max="82" width="14" style="7" customWidth="1"/>
    <col min="83" max="83" width="15.140625" style="7" customWidth="1"/>
    <col min="84" max="84" width="15.28515625" style="7" customWidth="1"/>
    <col min="85" max="85" width="13.85546875" style="7" customWidth="1"/>
    <col min="86" max="86" width="14.140625" style="7" customWidth="1"/>
    <col min="87" max="87" width="13.140625" style="7" customWidth="1"/>
    <col min="88" max="88" width="13.42578125" style="7" customWidth="1"/>
    <col min="89" max="89" width="14.42578125" style="7" customWidth="1"/>
    <col min="90" max="90" width="19.42578125" style="7" customWidth="1"/>
    <col min="91" max="91" width="12.7109375" style="7" customWidth="1"/>
    <col min="92" max="92" width="12.5703125" style="7" customWidth="1"/>
    <col min="93" max="94" width="13.28515625" style="7" customWidth="1"/>
    <col min="95" max="95" width="13.85546875" style="7" customWidth="1"/>
    <col min="96" max="97" width="12.28515625" style="7" customWidth="1"/>
    <col min="98" max="98" width="13.5703125" style="7" customWidth="1"/>
    <col min="99" max="104" width="12.28515625" style="7" customWidth="1"/>
    <col min="105" max="105" width="14.85546875" style="7" customWidth="1"/>
    <col min="106" max="108" width="12.28515625" style="7" customWidth="1"/>
    <col min="109" max="109" width="14.28515625" style="7" customWidth="1"/>
    <col min="110" max="110" width="13" style="7" customWidth="1"/>
    <col min="111" max="111" width="12.28515625" style="7" customWidth="1"/>
    <col min="112" max="112" width="15.28515625" style="7" customWidth="1"/>
    <col min="113" max="113" width="14.28515625" style="7" customWidth="1"/>
    <col min="114" max="115" width="13.5703125" style="7" customWidth="1"/>
    <col min="116" max="116" width="13.7109375" style="7" customWidth="1"/>
    <col min="117" max="117" width="13.42578125" style="7" customWidth="1"/>
    <col min="118" max="118" width="17.7109375" style="7" customWidth="1"/>
    <col min="119" max="119" width="13.28515625" style="7" customWidth="1"/>
    <col min="120" max="120" width="12.5703125" style="7" customWidth="1"/>
    <col min="121" max="127" width="12.28515625" style="7" customWidth="1"/>
    <col min="128" max="128" width="14.140625" style="7" customWidth="1"/>
    <col min="129" max="129" width="13.28515625" style="7" customWidth="1"/>
    <col min="130" max="130" width="13.42578125" style="7" customWidth="1"/>
    <col min="131" max="131" width="14" style="7" customWidth="1"/>
    <col min="132" max="132" width="13.42578125" style="7" customWidth="1"/>
    <col min="133" max="133" width="13" style="7" customWidth="1"/>
    <col min="134" max="134" width="13.28515625" style="7" customWidth="1"/>
    <col min="135" max="135" width="13" style="7" customWidth="1"/>
    <col min="136" max="136" width="12.5703125" style="7" customWidth="1"/>
    <col min="137" max="137" width="12.28515625" style="7" customWidth="1"/>
    <col min="138" max="138" width="13.140625" style="7" customWidth="1"/>
    <col min="139" max="140" width="12.28515625" style="7" customWidth="1"/>
    <col min="141" max="141" width="13.140625" style="7" customWidth="1"/>
    <col min="142" max="142" width="15.140625" style="7" customWidth="1"/>
    <col min="143" max="144" width="12.28515625" style="7" customWidth="1"/>
    <col min="145" max="146" width="14.85546875" style="7" customWidth="1"/>
    <col min="147" max="147" width="13.85546875" style="7" customWidth="1"/>
    <col min="148" max="148" width="12.42578125" style="7" bestFit="1" customWidth="1"/>
    <col min="149" max="149" width="13.28515625" style="7" customWidth="1"/>
    <col min="150" max="150" width="12.85546875" style="7" customWidth="1"/>
    <col min="151" max="155" width="12.42578125" style="7" bestFit="1" customWidth="1"/>
    <col min="156" max="156" width="13" style="7" customWidth="1"/>
    <col min="157" max="157" width="12.5703125" style="7" customWidth="1"/>
    <col min="158" max="158" width="13" style="7" bestFit="1" customWidth="1"/>
    <col min="159" max="163" width="12.42578125" style="7" bestFit="1" customWidth="1"/>
    <col min="164" max="164" width="13.7109375" style="7" customWidth="1"/>
    <col min="165" max="165" width="15.140625" style="7" customWidth="1"/>
    <col min="166" max="166" width="12.85546875" style="7" customWidth="1"/>
    <col min="167" max="167" width="12.42578125" style="7" bestFit="1" customWidth="1"/>
    <col min="168" max="168" width="12.85546875" style="7" bestFit="1" customWidth="1"/>
    <col min="169" max="169" width="12.42578125" style="7" bestFit="1" customWidth="1"/>
    <col min="170" max="170" width="14.28515625" style="7" customWidth="1"/>
    <col min="171" max="171" width="12.85546875" style="7" customWidth="1"/>
    <col min="172" max="173" width="12.42578125" style="7" bestFit="1" customWidth="1"/>
    <col min="174" max="174" width="14.140625" style="7" customWidth="1"/>
    <col min="175" max="175" width="14" style="7" customWidth="1"/>
    <col min="176" max="176" width="13.42578125" style="7" customWidth="1"/>
    <col min="177" max="177" width="15.42578125" style="7" customWidth="1"/>
    <col min="178" max="178" width="14.42578125" style="7" customWidth="1"/>
    <col min="179" max="179" width="14.140625" style="7" customWidth="1"/>
    <col min="180" max="180" width="14.42578125" style="7" customWidth="1"/>
    <col min="181" max="181" width="14.140625" style="7" customWidth="1"/>
    <col min="182" max="182" width="14.28515625" style="7" customWidth="1"/>
    <col min="183" max="183" width="15.5703125" style="7" customWidth="1"/>
    <col min="184" max="184" width="13.5703125" style="7" customWidth="1"/>
    <col min="185" max="185" width="13.28515625" style="7" customWidth="1"/>
    <col min="186" max="186" width="15.28515625" style="7" customWidth="1"/>
    <col min="187" max="187" width="13.42578125" style="7" customWidth="1"/>
    <col min="188" max="16384" width="12.28515625" style="7"/>
  </cols>
  <sheetData>
    <row r="1" spans="1:187" ht="15" x14ac:dyDescent="0.2">
      <c r="A1" s="46" t="s">
        <v>20</v>
      </c>
      <c r="B1" s="48"/>
      <c r="C1" s="48"/>
    </row>
    <row r="2" spans="1:187" ht="13.5" customHeight="1" x14ac:dyDescent="0.2">
      <c r="A2" s="46" t="s">
        <v>21</v>
      </c>
      <c r="B2" s="48"/>
      <c r="C2" s="48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</row>
    <row r="3" spans="1:187" ht="16.5" thickBot="1" x14ac:dyDescent="0.25">
      <c r="A3" s="48"/>
      <c r="B3" s="48"/>
      <c r="C3" s="49" t="s">
        <v>22</v>
      </c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</row>
    <row r="4" spans="1:187" ht="13.5" thickBot="1" x14ac:dyDescent="0.25">
      <c r="A4" s="70" t="s">
        <v>23</v>
      </c>
      <c r="B4" s="71"/>
      <c r="C4" s="72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</row>
    <row r="5" spans="1:187" s="12" customFormat="1" ht="13.5" thickBot="1" x14ac:dyDescent="0.25">
      <c r="A5" s="73" t="s">
        <v>24</v>
      </c>
      <c r="B5" s="74"/>
      <c r="C5" s="75"/>
      <c r="D5" s="8">
        <v>1</v>
      </c>
      <c r="E5" s="9">
        <v>2</v>
      </c>
      <c r="F5" s="9">
        <v>3</v>
      </c>
      <c r="G5" s="9">
        <v>4</v>
      </c>
      <c r="H5" s="9">
        <v>5</v>
      </c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>
        <v>13</v>
      </c>
      <c r="Q5" s="9">
        <v>14</v>
      </c>
      <c r="R5" s="9">
        <v>15</v>
      </c>
      <c r="S5" s="9">
        <v>16</v>
      </c>
      <c r="T5" s="9">
        <v>17</v>
      </c>
      <c r="U5" s="9">
        <v>18</v>
      </c>
      <c r="V5" s="9">
        <v>19</v>
      </c>
      <c r="W5" s="9">
        <v>20</v>
      </c>
      <c r="X5" s="9">
        <v>21</v>
      </c>
      <c r="Y5" s="9">
        <v>22</v>
      </c>
      <c r="Z5" s="9">
        <v>23</v>
      </c>
      <c r="AA5" s="9">
        <v>24</v>
      </c>
      <c r="AB5" s="9">
        <v>25</v>
      </c>
      <c r="AC5" s="9">
        <v>26</v>
      </c>
      <c r="AD5" s="9">
        <v>27</v>
      </c>
      <c r="AE5" s="9">
        <v>28</v>
      </c>
      <c r="AF5" s="9">
        <v>29</v>
      </c>
      <c r="AG5" s="9">
        <v>30</v>
      </c>
      <c r="AH5" s="9">
        <v>31</v>
      </c>
      <c r="AI5" s="9">
        <v>32</v>
      </c>
      <c r="AJ5" s="9">
        <v>33</v>
      </c>
      <c r="AK5" s="9">
        <v>34</v>
      </c>
      <c r="AL5" s="9">
        <v>35</v>
      </c>
      <c r="AM5" s="9">
        <v>36</v>
      </c>
      <c r="AN5" s="9">
        <v>37</v>
      </c>
      <c r="AO5" s="9">
        <v>38</v>
      </c>
      <c r="AP5" s="9">
        <v>39</v>
      </c>
      <c r="AQ5" s="9">
        <v>40</v>
      </c>
      <c r="AR5" s="9">
        <v>41</v>
      </c>
      <c r="AS5" s="9">
        <v>42</v>
      </c>
      <c r="AT5" s="9">
        <v>43</v>
      </c>
      <c r="AU5" s="9">
        <v>44</v>
      </c>
      <c r="AV5" s="9">
        <v>45</v>
      </c>
      <c r="AW5" s="9">
        <v>46</v>
      </c>
      <c r="AX5" s="9">
        <v>47</v>
      </c>
      <c r="AY5" s="9">
        <v>48</v>
      </c>
      <c r="AZ5" s="9">
        <v>49</v>
      </c>
      <c r="BA5" s="9">
        <v>50</v>
      </c>
      <c r="BB5" s="10">
        <v>51</v>
      </c>
      <c r="BC5" s="9">
        <v>52</v>
      </c>
      <c r="BD5" s="10">
        <v>53</v>
      </c>
      <c r="BE5" s="9">
        <v>54</v>
      </c>
      <c r="BF5" s="10">
        <v>55</v>
      </c>
      <c r="BG5" s="9">
        <v>56</v>
      </c>
      <c r="BH5" s="10">
        <v>57</v>
      </c>
      <c r="BI5" s="9">
        <v>58</v>
      </c>
      <c r="BJ5" s="10">
        <v>59</v>
      </c>
      <c r="BK5" s="9">
        <v>60</v>
      </c>
      <c r="BL5" s="10">
        <v>61</v>
      </c>
      <c r="BM5" s="9">
        <v>62</v>
      </c>
      <c r="BN5" s="10">
        <v>63</v>
      </c>
      <c r="BO5" s="9">
        <v>64</v>
      </c>
      <c r="BP5" s="10">
        <v>65</v>
      </c>
      <c r="BQ5" s="9">
        <v>66</v>
      </c>
      <c r="BR5" s="10">
        <v>67</v>
      </c>
      <c r="BS5" s="9">
        <v>68</v>
      </c>
      <c r="BT5" s="10">
        <v>69</v>
      </c>
      <c r="BU5" s="9">
        <v>70</v>
      </c>
      <c r="BV5" s="10">
        <v>71</v>
      </c>
      <c r="BW5" s="9">
        <v>72</v>
      </c>
      <c r="BX5" s="10">
        <v>73</v>
      </c>
      <c r="BY5" s="9">
        <v>74</v>
      </c>
      <c r="BZ5" s="10">
        <v>75</v>
      </c>
      <c r="CA5" s="9">
        <v>76</v>
      </c>
      <c r="CB5" s="10">
        <v>77</v>
      </c>
      <c r="CC5" s="9">
        <v>78</v>
      </c>
      <c r="CD5" s="10">
        <v>79</v>
      </c>
      <c r="CE5" s="9">
        <v>80</v>
      </c>
      <c r="CF5" s="10">
        <v>81</v>
      </c>
      <c r="CG5" s="9">
        <v>82</v>
      </c>
      <c r="CH5" s="10">
        <v>83</v>
      </c>
      <c r="CI5" s="9">
        <v>84</v>
      </c>
      <c r="CJ5" s="10">
        <v>85</v>
      </c>
      <c r="CK5" s="9">
        <v>86</v>
      </c>
      <c r="CL5" s="10">
        <v>87</v>
      </c>
      <c r="CM5" s="9">
        <v>88</v>
      </c>
      <c r="CN5" s="10">
        <v>89</v>
      </c>
      <c r="CO5" s="9">
        <v>90</v>
      </c>
      <c r="CP5" s="10">
        <v>91</v>
      </c>
      <c r="CQ5" s="9">
        <v>92</v>
      </c>
      <c r="CR5" s="10">
        <v>93</v>
      </c>
      <c r="CS5" s="9">
        <v>94</v>
      </c>
      <c r="CT5" s="10">
        <v>95</v>
      </c>
      <c r="CU5" s="9">
        <v>96</v>
      </c>
      <c r="CV5" s="10">
        <v>97</v>
      </c>
      <c r="CW5" s="9">
        <v>98</v>
      </c>
      <c r="CX5" s="10">
        <v>99</v>
      </c>
      <c r="CY5" s="9">
        <v>100</v>
      </c>
      <c r="CZ5" s="10">
        <v>101</v>
      </c>
      <c r="DA5" s="9">
        <v>102</v>
      </c>
      <c r="DB5" s="10">
        <v>103</v>
      </c>
      <c r="DC5" s="9">
        <v>104</v>
      </c>
      <c r="DD5" s="10">
        <v>105</v>
      </c>
      <c r="DE5" s="9">
        <v>106</v>
      </c>
      <c r="DF5" s="10">
        <v>107</v>
      </c>
      <c r="DG5" s="9">
        <v>108</v>
      </c>
      <c r="DH5" s="10">
        <v>109</v>
      </c>
      <c r="DI5" s="9">
        <v>110</v>
      </c>
      <c r="DJ5" s="10">
        <v>111</v>
      </c>
      <c r="DK5" s="9">
        <v>112</v>
      </c>
      <c r="DL5" s="10">
        <v>113</v>
      </c>
      <c r="DM5" s="9">
        <v>114</v>
      </c>
      <c r="DN5" s="10">
        <v>115</v>
      </c>
      <c r="DO5" s="9">
        <v>116</v>
      </c>
      <c r="DP5" s="10">
        <v>117</v>
      </c>
      <c r="DQ5" s="9">
        <v>118</v>
      </c>
      <c r="DR5" s="10">
        <v>119</v>
      </c>
      <c r="DS5" s="9">
        <v>120</v>
      </c>
      <c r="DT5" s="10">
        <v>121</v>
      </c>
      <c r="DU5" s="9">
        <v>122</v>
      </c>
      <c r="DV5" s="10">
        <v>123</v>
      </c>
      <c r="DW5" s="9">
        <v>124</v>
      </c>
      <c r="DX5" s="10">
        <v>125</v>
      </c>
      <c r="DY5" s="9">
        <v>126</v>
      </c>
      <c r="DZ5" s="10">
        <v>127</v>
      </c>
      <c r="EA5" s="9">
        <v>128</v>
      </c>
      <c r="EB5" s="10">
        <v>129</v>
      </c>
      <c r="EC5" s="9">
        <v>130</v>
      </c>
      <c r="ED5" s="10">
        <v>131</v>
      </c>
      <c r="EE5" s="9">
        <v>132</v>
      </c>
      <c r="EF5" s="10">
        <v>133</v>
      </c>
      <c r="EG5" s="9">
        <v>134</v>
      </c>
      <c r="EH5" s="10">
        <v>135</v>
      </c>
      <c r="EI5" s="9">
        <v>136</v>
      </c>
      <c r="EJ5" s="10">
        <v>137</v>
      </c>
      <c r="EK5" s="11">
        <f>EJ5+1</f>
        <v>138</v>
      </c>
      <c r="EL5" s="11">
        <f t="shared" ref="EL5:GE5" si="0">EK5+1</f>
        <v>139</v>
      </c>
      <c r="EM5" s="11">
        <f t="shared" si="0"/>
        <v>140</v>
      </c>
      <c r="EN5" s="11">
        <f t="shared" si="0"/>
        <v>141</v>
      </c>
      <c r="EO5" s="11">
        <f t="shared" si="0"/>
        <v>142</v>
      </c>
      <c r="EP5" s="11">
        <f t="shared" si="0"/>
        <v>143</v>
      </c>
      <c r="EQ5" s="11">
        <f t="shared" si="0"/>
        <v>144</v>
      </c>
      <c r="ER5" s="11">
        <f t="shared" si="0"/>
        <v>145</v>
      </c>
      <c r="ES5" s="11">
        <f t="shared" si="0"/>
        <v>146</v>
      </c>
      <c r="ET5" s="11">
        <f t="shared" si="0"/>
        <v>147</v>
      </c>
      <c r="EU5" s="11">
        <f t="shared" si="0"/>
        <v>148</v>
      </c>
      <c r="EV5" s="11">
        <f t="shared" si="0"/>
        <v>149</v>
      </c>
      <c r="EW5" s="11">
        <f t="shared" si="0"/>
        <v>150</v>
      </c>
      <c r="EX5" s="11">
        <f t="shared" si="0"/>
        <v>151</v>
      </c>
      <c r="EY5" s="11">
        <f t="shared" si="0"/>
        <v>152</v>
      </c>
      <c r="EZ5" s="11">
        <f t="shared" si="0"/>
        <v>153</v>
      </c>
      <c r="FA5" s="11">
        <f t="shared" si="0"/>
        <v>154</v>
      </c>
      <c r="FB5" s="11">
        <f t="shared" si="0"/>
        <v>155</v>
      </c>
      <c r="FC5" s="11">
        <f t="shared" si="0"/>
        <v>156</v>
      </c>
      <c r="FD5" s="11">
        <f t="shared" si="0"/>
        <v>157</v>
      </c>
      <c r="FE5" s="11">
        <f t="shared" si="0"/>
        <v>158</v>
      </c>
      <c r="FF5" s="11">
        <f t="shared" si="0"/>
        <v>159</v>
      </c>
      <c r="FG5" s="11">
        <f t="shared" si="0"/>
        <v>160</v>
      </c>
      <c r="FH5" s="11">
        <f t="shared" si="0"/>
        <v>161</v>
      </c>
      <c r="FI5" s="11">
        <f t="shared" si="0"/>
        <v>162</v>
      </c>
      <c r="FJ5" s="11">
        <f t="shared" si="0"/>
        <v>163</v>
      </c>
      <c r="FK5" s="11">
        <f t="shared" si="0"/>
        <v>164</v>
      </c>
      <c r="FL5" s="11">
        <f t="shared" si="0"/>
        <v>165</v>
      </c>
      <c r="FM5" s="11">
        <f t="shared" si="0"/>
        <v>166</v>
      </c>
      <c r="FN5" s="11">
        <f t="shared" si="0"/>
        <v>167</v>
      </c>
      <c r="FO5" s="11">
        <f t="shared" si="0"/>
        <v>168</v>
      </c>
      <c r="FP5" s="11">
        <f t="shared" si="0"/>
        <v>169</v>
      </c>
      <c r="FQ5" s="11">
        <f t="shared" si="0"/>
        <v>170</v>
      </c>
      <c r="FR5" s="11">
        <f t="shared" si="0"/>
        <v>171</v>
      </c>
      <c r="FS5" s="11">
        <f t="shared" si="0"/>
        <v>172</v>
      </c>
      <c r="FT5" s="11">
        <f t="shared" si="0"/>
        <v>173</v>
      </c>
      <c r="FU5" s="11">
        <f t="shared" si="0"/>
        <v>174</v>
      </c>
      <c r="FV5" s="11">
        <f t="shared" si="0"/>
        <v>175</v>
      </c>
      <c r="FW5" s="11">
        <f t="shared" si="0"/>
        <v>176</v>
      </c>
      <c r="FX5" s="11">
        <f t="shared" si="0"/>
        <v>177</v>
      </c>
      <c r="FY5" s="11">
        <f t="shared" si="0"/>
        <v>178</v>
      </c>
      <c r="FZ5" s="11">
        <f t="shared" si="0"/>
        <v>179</v>
      </c>
      <c r="GA5" s="11">
        <f t="shared" si="0"/>
        <v>180</v>
      </c>
      <c r="GB5" s="11">
        <f t="shared" si="0"/>
        <v>181</v>
      </c>
      <c r="GC5" s="11">
        <f t="shared" si="0"/>
        <v>182</v>
      </c>
      <c r="GD5" s="11">
        <f t="shared" si="0"/>
        <v>183</v>
      </c>
      <c r="GE5" s="11">
        <f t="shared" si="0"/>
        <v>184</v>
      </c>
    </row>
    <row r="6" spans="1:187" s="17" customFormat="1" ht="13.5" customHeight="1" thickBot="1" x14ac:dyDescent="0.25">
      <c r="A6" s="73" t="s">
        <v>25</v>
      </c>
      <c r="B6" s="74"/>
      <c r="C6" s="75"/>
      <c r="D6" s="13">
        <v>5201705</v>
      </c>
      <c r="E6" s="13">
        <v>2618532</v>
      </c>
      <c r="F6" s="13">
        <v>2675471</v>
      </c>
      <c r="G6" s="13">
        <v>5213789</v>
      </c>
      <c r="H6" s="13">
        <v>5068827</v>
      </c>
      <c r="I6" s="13">
        <v>2086999</v>
      </c>
      <c r="J6" s="13">
        <v>5170672</v>
      </c>
      <c r="K6" s="13">
        <v>2120879</v>
      </c>
      <c r="L6" s="13">
        <v>2763788</v>
      </c>
      <c r="M6" s="13">
        <v>2873575</v>
      </c>
      <c r="N6" s="13">
        <v>2848376</v>
      </c>
      <c r="O6" s="13">
        <v>2074192</v>
      </c>
      <c r="P6" s="13">
        <v>5018536</v>
      </c>
      <c r="Q6" s="13">
        <v>5118832</v>
      </c>
      <c r="R6" s="13">
        <v>2644495</v>
      </c>
      <c r="S6" s="14">
        <v>2040239</v>
      </c>
      <c r="T6" s="13">
        <v>2672146</v>
      </c>
      <c r="U6" s="14">
        <v>2766272</v>
      </c>
      <c r="V6" s="13">
        <v>2657457</v>
      </c>
      <c r="W6" s="13">
        <v>2877694</v>
      </c>
      <c r="X6" s="13">
        <v>2063352</v>
      </c>
      <c r="Y6" s="13">
        <v>2112868</v>
      </c>
      <c r="Z6" s="13">
        <v>2819627</v>
      </c>
      <c r="AA6" s="13">
        <v>2587815</v>
      </c>
      <c r="AB6" s="13">
        <v>2863847</v>
      </c>
      <c r="AC6" s="13">
        <v>2683083</v>
      </c>
      <c r="AD6" s="13">
        <v>2816555</v>
      </c>
      <c r="AE6" s="14">
        <v>5056721</v>
      </c>
      <c r="AF6" s="13">
        <v>2555409</v>
      </c>
      <c r="AG6" s="13">
        <v>2008572</v>
      </c>
      <c r="AH6" s="13">
        <v>2640635</v>
      </c>
      <c r="AI6" s="13">
        <v>2626454</v>
      </c>
      <c r="AJ6" s="14">
        <v>2844923</v>
      </c>
      <c r="AK6" s="13">
        <v>2574233</v>
      </c>
      <c r="AL6" s="13">
        <v>2774534</v>
      </c>
      <c r="AM6" s="13">
        <v>2007126</v>
      </c>
      <c r="AN6" s="13">
        <v>2609436</v>
      </c>
      <c r="AO6" s="13">
        <v>2014491</v>
      </c>
      <c r="AP6" s="13">
        <v>2551764</v>
      </c>
      <c r="AQ6" s="13">
        <v>2550075</v>
      </c>
      <c r="AR6" s="14">
        <v>2855119</v>
      </c>
      <c r="AS6" s="13">
        <v>2094533</v>
      </c>
      <c r="AT6" s="13">
        <v>2100754</v>
      </c>
      <c r="AU6" s="13">
        <v>2736381</v>
      </c>
      <c r="AV6" s="13">
        <v>5007127</v>
      </c>
      <c r="AW6" s="13">
        <v>2643928</v>
      </c>
      <c r="AX6" s="13">
        <v>2054701</v>
      </c>
      <c r="AY6" s="13">
        <v>2862468</v>
      </c>
      <c r="AZ6" s="13">
        <v>5156246</v>
      </c>
      <c r="BA6" s="13">
        <v>2765853</v>
      </c>
      <c r="BB6" s="15">
        <v>2024594</v>
      </c>
      <c r="BC6" s="15">
        <v>2086166</v>
      </c>
      <c r="BD6" s="15">
        <v>2152924</v>
      </c>
      <c r="BE6" s="15">
        <v>2682702</v>
      </c>
      <c r="BF6" s="15">
        <v>2736624</v>
      </c>
      <c r="BG6" s="15">
        <v>2061848</v>
      </c>
      <c r="BH6" s="15">
        <v>2570769</v>
      </c>
      <c r="BI6" s="15">
        <v>2544938</v>
      </c>
      <c r="BJ6" s="15">
        <v>2010933</v>
      </c>
      <c r="BK6" s="15">
        <v>2001632</v>
      </c>
      <c r="BL6" s="15">
        <v>2081547</v>
      </c>
      <c r="BM6" s="15">
        <v>5002486</v>
      </c>
      <c r="BN6" s="15">
        <v>5076021</v>
      </c>
      <c r="BO6" s="15">
        <v>5088755</v>
      </c>
      <c r="BP6" s="15">
        <v>2711834</v>
      </c>
      <c r="BQ6" s="15">
        <v>2854384</v>
      </c>
      <c r="BR6" s="15">
        <v>2169967</v>
      </c>
      <c r="BS6" s="15">
        <v>2784041</v>
      </c>
      <c r="BT6" s="15">
        <v>2558661</v>
      </c>
      <c r="BU6" s="15">
        <v>2732726</v>
      </c>
      <c r="BV6" s="15">
        <v>2844001</v>
      </c>
      <c r="BW6" s="15">
        <v>2025736</v>
      </c>
      <c r="BX6" s="15">
        <v>2571498</v>
      </c>
      <c r="BY6" s="15">
        <v>5108357</v>
      </c>
      <c r="BZ6" s="15">
        <v>2579634</v>
      </c>
      <c r="CA6" s="15">
        <v>5082986</v>
      </c>
      <c r="CB6" s="15">
        <v>2852772</v>
      </c>
      <c r="CC6" s="15">
        <v>2034859</v>
      </c>
      <c r="CD6" s="15">
        <v>2067544</v>
      </c>
      <c r="CE6" s="15">
        <v>2743744</v>
      </c>
      <c r="CF6" s="15">
        <v>2091283</v>
      </c>
      <c r="CG6" s="15">
        <v>2024101</v>
      </c>
      <c r="CH6" s="15">
        <v>2550245</v>
      </c>
      <c r="CI6" s="15">
        <v>2027615</v>
      </c>
      <c r="CJ6" s="15">
        <v>2550466</v>
      </c>
      <c r="CK6" s="15">
        <v>2848317</v>
      </c>
      <c r="CL6" s="15">
        <v>5051134</v>
      </c>
      <c r="CM6" s="15">
        <v>2095025</v>
      </c>
      <c r="CN6" s="15">
        <v>2048892</v>
      </c>
      <c r="CO6" s="15">
        <v>2554518</v>
      </c>
      <c r="CP6" s="15">
        <v>2029278</v>
      </c>
      <c r="CQ6" s="15">
        <v>2811138</v>
      </c>
      <c r="CR6" s="15">
        <v>2761114</v>
      </c>
      <c r="CS6" s="15">
        <v>2044838</v>
      </c>
      <c r="CT6" s="15">
        <v>2031698</v>
      </c>
      <c r="CU6" s="15">
        <v>2665603</v>
      </c>
      <c r="CV6" s="15">
        <v>2010895</v>
      </c>
      <c r="CW6" s="15">
        <v>2774666</v>
      </c>
      <c r="CX6" s="15">
        <v>5003539</v>
      </c>
      <c r="CY6" s="15">
        <v>2026236</v>
      </c>
      <c r="CZ6" s="15">
        <v>2617749</v>
      </c>
      <c r="DA6" s="15">
        <v>2618478</v>
      </c>
      <c r="DB6" s="15">
        <v>2843129</v>
      </c>
      <c r="DC6" s="15">
        <v>2628058</v>
      </c>
      <c r="DD6" s="15">
        <v>2101904</v>
      </c>
      <c r="DE6" s="15">
        <v>2841002</v>
      </c>
      <c r="DF6" s="15">
        <v>2590565</v>
      </c>
      <c r="DG6" s="15">
        <v>2105497</v>
      </c>
      <c r="DH6" s="15">
        <v>2068478</v>
      </c>
      <c r="DI6" s="15">
        <v>2587645</v>
      </c>
      <c r="DJ6" s="15">
        <v>2596873</v>
      </c>
      <c r="DK6" s="15">
        <v>4489802</v>
      </c>
      <c r="DL6" s="15">
        <v>2614065</v>
      </c>
      <c r="DM6" s="15">
        <v>2872943</v>
      </c>
      <c r="DN6" s="15">
        <v>2602504</v>
      </c>
      <c r="DO6" s="15">
        <v>2076748</v>
      </c>
      <c r="DP6" s="15">
        <v>2107961</v>
      </c>
      <c r="DQ6" s="15">
        <v>2656523</v>
      </c>
      <c r="DR6" s="15">
        <v>2867699</v>
      </c>
      <c r="DS6" s="15">
        <v>2639815</v>
      </c>
      <c r="DT6" s="15">
        <v>2051273</v>
      </c>
      <c r="DU6" s="15">
        <v>2839717</v>
      </c>
      <c r="DV6" s="15">
        <v>2582457</v>
      </c>
      <c r="DW6" s="15">
        <v>2121085</v>
      </c>
      <c r="DX6" s="15">
        <v>2344343</v>
      </c>
      <c r="DY6" s="15">
        <v>2064537</v>
      </c>
      <c r="DZ6" s="15">
        <v>2819996</v>
      </c>
      <c r="EA6" s="15">
        <v>2766868</v>
      </c>
      <c r="EB6" s="15">
        <v>2546434</v>
      </c>
      <c r="EC6" s="15">
        <v>2608758</v>
      </c>
      <c r="ED6" s="15">
        <v>2787318</v>
      </c>
      <c r="EE6" s="15">
        <v>5017386</v>
      </c>
      <c r="EF6" s="15">
        <v>9070664</v>
      </c>
      <c r="EG6" s="15">
        <v>2661128</v>
      </c>
      <c r="EH6" s="15">
        <v>2829541</v>
      </c>
      <c r="EI6" s="15">
        <v>2718375</v>
      </c>
      <c r="EJ6" s="15">
        <v>2041391</v>
      </c>
      <c r="EK6" s="16">
        <v>2549204</v>
      </c>
      <c r="EL6" s="16">
        <v>2881934</v>
      </c>
      <c r="EM6" s="16">
        <v>2019086</v>
      </c>
      <c r="EN6" s="16">
        <v>2872722</v>
      </c>
      <c r="EO6" s="16">
        <v>2548747</v>
      </c>
      <c r="EP6" s="16">
        <v>2786184</v>
      </c>
      <c r="EQ6" s="16">
        <v>2641984</v>
      </c>
      <c r="ER6" s="16">
        <v>2097109</v>
      </c>
      <c r="ES6" s="16">
        <v>2587025</v>
      </c>
      <c r="ET6" s="16">
        <v>2837196</v>
      </c>
      <c r="EU6" s="16">
        <v>2030624</v>
      </c>
      <c r="EV6" s="16">
        <v>2800497</v>
      </c>
      <c r="EW6" s="16">
        <v>2556154</v>
      </c>
      <c r="EX6" s="16">
        <v>2784904</v>
      </c>
      <c r="EY6" s="16">
        <v>2618621</v>
      </c>
      <c r="EZ6" s="16">
        <v>2050374</v>
      </c>
      <c r="FA6" s="16">
        <v>2884259</v>
      </c>
      <c r="FB6" s="16">
        <v>2072947</v>
      </c>
      <c r="FC6" s="16">
        <v>2770601</v>
      </c>
      <c r="FD6" s="16">
        <v>2830213</v>
      </c>
      <c r="FE6" s="16">
        <v>2053152</v>
      </c>
      <c r="FF6" s="16"/>
      <c r="FG6" s="16">
        <v>2649098</v>
      </c>
      <c r="FH6" s="16">
        <v>5058295</v>
      </c>
      <c r="FI6" s="16">
        <v>2834421</v>
      </c>
      <c r="FJ6" s="16">
        <v>5069068</v>
      </c>
      <c r="FK6" s="16">
        <v>2121174</v>
      </c>
      <c r="FL6" s="16">
        <v>2655772</v>
      </c>
      <c r="FM6" s="16">
        <v>2654806</v>
      </c>
      <c r="FN6" s="16">
        <v>2027194</v>
      </c>
      <c r="FO6" s="16">
        <v>2604469</v>
      </c>
      <c r="FP6" s="16">
        <v>2572036</v>
      </c>
      <c r="FQ6" s="16">
        <v>2569477</v>
      </c>
      <c r="FR6" s="16">
        <v>2075385</v>
      </c>
      <c r="FS6" s="16">
        <v>2016656</v>
      </c>
      <c r="FT6" s="16">
        <v>2073358</v>
      </c>
      <c r="FU6" s="16">
        <v>2697947</v>
      </c>
      <c r="FV6" s="16">
        <v>2788691</v>
      </c>
      <c r="FW6" s="16">
        <v>2011239</v>
      </c>
      <c r="FX6" s="16">
        <v>2019205</v>
      </c>
      <c r="FY6" s="16">
        <v>2004879</v>
      </c>
      <c r="FZ6" s="16">
        <v>2787989</v>
      </c>
      <c r="GA6" s="16">
        <v>2889439</v>
      </c>
      <c r="GB6" s="16">
        <v>2807459</v>
      </c>
      <c r="GC6" s="16">
        <v>2874229</v>
      </c>
      <c r="GD6" s="16">
        <v>2867095</v>
      </c>
      <c r="GE6" s="16">
        <v>2766337</v>
      </c>
    </row>
    <row r="7" spans="1:187" ht="45" customHeight="1" thickBot="1" x14ac:dyDescent="0.25">
      <c r="A7" s="73" t="s">
        <v>26</v>
      </c>
      <c r="B7" s="74"/>
      <c r="C7" s="75"/>
      <c r="D7" s="76" t="s">
        <v>73</v>
      </c>
      <c r="E7" s="77" t="s">
        <v>74</v>
      </c>
      <c r="F7" s="77" t="s">
        <v>75</v>
      </c>
      <c r="G7" s="77" t="s">
        <v>76</v>
      </c>
      <c r="H7" s="77" t="s">
        <v>77</v>
      </c>
      <c r="I7" s="77" t="s">
        <v>78</v>
      </c>
      <c r="J7" s="77" t="s">
        <v>79</v>
      </c>
      <c r="K7" s="77" t="s">
        <v>80</v>
      </c>
      <c r="L7" s="77" t="s">
        <v>81</v>
      </c>
      <c r="M7" s="77" t="s">
        <v>82</v>
      </c>
      <c r="N7" s="77" t="s">
        <v>83</v>
      </c>
      <c r="O7" s="78" t="s">
        <v>84</v>
      </c>
      <c r="P7" s="77" t="s">
        <v>85</v>
      </c>
      <c r="Q7" s="77" t="s">
        <v>86</v>
      </c>
      <c r="R7" s="77" t="s">
        <v>87</v>
      </c>
      <c r="S7" s="79" t="s">
        <v>88</v>
      </c>
      <c r="T7" s="79" t="s">
        <v>89</v>
      </c>
      <c r="U7" s="79" t="s">
        <v>90</v>
      </c>
      <c r="V7" s="77" t="s">
        <v>91</v>
      </c>
      <c r="W7" s="77" t="s">
        <v>92</v>
      </c>
      <c r="X7" s="77" t="s">
        <v>93</v>
      </c>
      <c r="Y7" s="77" t="s">
        <v>94</v>
      </c>
      <c r="Z7" s="77" t="s">
        <v>95</v>
      </c>
      <c r="AA7" s="77" t="s">
        <v>96</v>
      </c>
      <c r="AB7" s="77" t="s">
        <v>97</v>
      </c>
      <c r="AC7" s="77" t="s">
        <v>98</v>
      </c>
      <c r="AD7" s="77" t="s">
        <v>99</v>
      </c>
      <c r="AE7" s="79" t="s">
        <v>100</v>
      </c>
      <c r="AF7" s="77" t="s">
        <v>101</v>
      </c>
      <c r="AG7" s="77" t="s">
        <v>102</v>
      </c>
      <c r="AH7" s="77" t="s">
        <v>103</v>
      </c>
      <c r="AI7" s="77" t="s">
        <v>104</v>
      </c>
      <c r="AJ7" s="79" t="s">
        <v>105</v>
      </c>
      <c r="AK7" s="77" t="s">
        <v>106</v>
      </c>
      <c r="AL7" s="77" t="s">
        <v>107</v>
      </c>
      <c r="AM7" s="77" t="s">
        <v>108</v>
      </c>
      <c r="AN7" s="77" t="s">
        <v>109</v>
      </c>
      <c r="AO7" s="77" t="s">
        <v>110</v>
      </c>
      <c r="AP7" s="77" t="s">
        <v>111</v>
      </c>
      <c r="AQ7" s="77" t="s">
        <v>112</v>
      </c>
      <c r="AR7" s="79" t="s">
        <v>113</v>
      </c>
      <c r="AS7" s="77" t="s">
        <v>114</v>
      </c>
      <c r="AT7" s="77" t="s">
        <v>115</v>
      </c>
      <c r="AU7" s="77" t="s">
        <v>116</v>
      </c>
      <c r="AV7" s="77" t="s">
        <v>117</v>
      </c>
      <c r="AW7" s="77" t="s">
        <v>118</v>
      </c>
      <c r="AX7" s="77" t="s">
        <v>119</v>
      </c>
      <c r="AY7" s="77" t="s">
        <v>120</v>
      </c>
      <c r="AZ7" s="77" t="s">
        <v>121</v>
      </c>
      <c r="BA7" s="77" t="s">
        <v>122</v>
      </c>
      <c r="BB7" s="77" t="s">
        <v>123</v>
      </c>
      <c r="BC7" s="77" t="s">
        <v>124</v>
      </c>
      <c r="BD7" s="77" t="s">
        <v>125</v>
      </c>
      <c r="BE7" s="77" t="s">
        <v>126</v>
      </c>
      <c r="BF7" s="77" t="s">
        <v>127</v>
      </c>
      <c r="BG7" s="77" t="s">
        <v>128</v>
      </c>
      <c r="BH7" s="77" t="s">
        <v>129</v>
      </c>
      <c r="BI7" s="77" t="s">
        <v>130</v>
      </c>
      <c r="BJ7" s="77" t="s">
        <v>131</v>
      </c>
      <c r="BK7" s="77" t="s">
        <v>132</v>
      </c>
      <c r="BL7" s="77" t="s">
        <v>133</v>
      </c>
      <c r="BM7" s="77" t="s">
        <v>134</v>
      </c>
      <c r="BN7" s="76" t="s">
        <v>152</v>
      </c>
      <c r="BO7" s="77" t="s">
        <v>153</v>
      </c>
      <c r="BP7" s="77" t="s">
        <v>154</v>
      </c>
      <c r="BQ7" s="77" t="s">
        <v>155</v>
      </c>
      <c r="BR7" s="77" t="s">
        <v>156</v>
      </c>
      <c r="BS7" s="77" t="s">
        <v>157</v>
      </c>
      <c r="BT7" s="77" t="s">
        <v>158</v>
      </c>
      <c r="BU7" s="77" t="s">
        <v>159</v>
      </c>
      <c r="BV7" s="77" t="s">
        <v>160</v>
      </c>
      <c r="BW7" s="77" t="s">
        <v>161</v>
      </c>
      <c r="BX7" s="78" t="s">
        <v>162</v>
      </c>
      <c r="BY7" s="77" t="s">
        <v>163</v>
      </c>
      <c r="BZ7" s="77" t="s">
        <v>164</v>
      </c>
      <c r="CA7" s="77" t="s">
        <v>165</v>
      </c>
      <c r="CB7" s="77" t="s">
        <v>166</v>
      </c>
      <c r="CC7" s="77" t="s">
        <v>167</v>
      </c>
      <c r="CD7" s="77" t="s">
        <v>168</v>
      </c>
      <c r="CE7" s="77" t="s">
        <v>169</v>
      </c>
      <c r="CF7" s="77" t="s">
        <v>170</v>
      </c>
      <c r="CG7" s="77" t="s">
        <v>171</v>
      </c>
      <c r="CH7" s="77" t="s">
        <v>172</v>
      </c>
      <c r="CI7" s="77" t="s">
        <v>173</v>
      </c>
      <c r="CJ7" s="77" t="s">
        <v>174</v>
      </c>
      <c r="CK7" s="77" t="s">
        <v>175</v>
      </c>
      <c r="CL7" s="77" t="s">
        <v>176</v>
      </c>
      <c r="CM7" s="77" t="s">
        <v>177</v>
      </c>
      <c r="CN7" s="77" t="s">
        <v>178</v>
      </c>
      <c r="CO7" s="77" t="s">
        <v>179</v>
      </c>
      <c r="CP7" s="77" t="s">
        <v>180</v>
      </c>
      <c r="CQ7" s="77" t="s">
        <v>181</v>
      </c>
      <c r="CR7" s="77" t="s">
        <v>182</v>
      </c>
      <c r="CS7" s="77" t="s">
        <v>183</v>
      </c>
      <c r="CT7" s="77" t="s">
        <v>184</v>
      </c>
      <c r="CU7" s="77" t="s">
        <v>185</v>
      </c>
      <c r="CV7" s="77" t="s">
        <v>186</v>
      </c>
      <c r="CW7" s="77" t="s">
        <v>187</v>
      </c>
      <c r="CX7" s="77" t="s">
        <v>188</v>
      </c>
      <c r="CY7" s="77" t="s">
        <v>189</v>
      </c>
      <c r="CZ7" s="77" t="s">
        <v>190</v>
      </c>
      <c r="DA7" s="77" t="s">
        <v>191</v>
      </c>
      <c r="DB7" s="77" t="s">
        <v>192</v>
      </c>
      <c r="DC7" s="77" t="s">
        <v>193</v>
      </c>
      <c r="DD7" s="77" t="s">
        <v>194</v>
      </c>
      <c r="DE7" s="77" t="s">
        <v>195</v>
      </c>
      <c r="DF7" s="77" t="s">
        <v>196</v>
      </c>
      <c r="DG7" s="78" t="s">
        <v>197</v>
      </c>
      <c r="DH7" s="77" t="s">
        <v>8</v>
      </c>
      <c r="DI7" s="77" t="s">
        <v>9</v>
      </c>
      <c r="DJ7" s="77" t="s">
        <v>198</v>
      </c>
      <c r="DK7" s="77" t="s">
        <v>199</v>
      </c>
      <c r="DL7" s="77" t="s">
        <v>200</v>
      </c>
      <c r="DM7" s="77" t="s">
        <v>201</v>
      </c>
      <c r="DN7" s="77" t="s">
        <v>202</v>
      </c>
      <c r="DO7" s="77" t="s">
        <v>203</v>
      </c>
      <c r="DP7" s="77" t="s">
        <v>204</v>
      </c>
      <c r="DQ7" s="77" t="s">
        <v>205</v>
      </c>
      <c r="DR7" s="77" t="s">
        <v>206</v>
      </c>
      <c r="DS7" s="77" t="s">
        <v>207</v>
      </c>
      <c r="DT7" s="77" t="s">
        <v>208</v>
      </c>
      <c r="DU7" s="77" t="s">
        <v>209</v>
      </c>
      <c r="DV7" s="77" t="s">
        <v>210</v>
      </c>
      <c r="DW7" s="77" t="s">
        <v>211</v>
      </c>
      <c r="DX7" s="85" t="s">
        <v>221</v>
      </c>
      <c r="DY7" s="18" t="s">
        <v>222</v>
      </c>
      <c r="DZ7" s="76" t="s">
        <v>223</v>
      </c>
      <c r="EA7" s="77" t="s">
        <v>224</v>
      </c>
      <c r="EB7" s="77" t="s">
        <v>225</v>
      </c>
      <c r="EC7" s="77" t="s">
        <v>226</v>
      </c>
      <c r="ED7" s="77" t="s">
        <v>227</v>
      </c>
      <c r="EE7" s="77" t="s">
        <v>228</v>
      </c>
      <c r="EF7" s="77" t="s">
        <v>229</v>
      </c>
      <c r="EG7" s="77" t="s">
        <v>230</v>
      </c>
      <c r="EH7" s="77" t="s">
        <v>231</v>
      </c>
      <c r="EI7" s="77" t="s">
        <v>232</v>
      </c>
      <c r="EJ7" s="77" t="s">
        <v>233</v>
      </c>
      <c r="EK7" s="89" t="s">
        <v>234</v>
      </c>
      <c r="EL7" s="89" t="s">
        <v>235</v>
      </c>
      <c r="EM7" s="89" t="s">
        <v>236</v>
      </c>
      <c r="EN7" s="89" t="s">
        <v>237</v>
      </c>
      <c r="EO7" s="89" t="s">
        <v>238</v>
      </c>
      <c r="EP7" s="89" t="s">
        <v>239</v>
      </c>
      <c r="EQ7" s="89" t="s">
        <v>240</v>
      </c>
      <c r="ER7" s="89" t="s">
        <v>241</v>
      </c>
      <c r="ES7" s="89" t="s">
        <v>242</v>
      </c>
      <c r="ET7" s="89" t="s">
        <v>243</v>
      </c>
      <c r="EU7" s="79" t="s">
        <v>244</v>
      </c>
      <c r="EV7" s="79" t="s">
        <v>245</v>
      </c>
      <c r="EW7" s="89" t="s">
        <v>246</v>
      </c>
      <c r="EX7" s="89" t="s">
        <v>247</v>
      </c>
      <c r="EY7" s="89" t="s">
        <v>248</v>
      </c>
      <c r="EZ7" s="89" t="s">
        <v>249</v>
      </c>
      <c r="FA7" s="89" t="s">
        <v>250</v>
      </c>
      <c r="FB7" s="89" t="s">
        <v>251</v>
      </c>
      <c r="FC7" s="79" t="s">
        <v>252</v>
      </c>
      <c r="FD7" s="89" t="s">
        <v>253</v>
      </c>
      <c r="FE7" s="89" t="s">
        <v>254</v>
      </c>
      <c r="FF7" s="79" t="s">
        <v>255</v>
      </c>
      <c r="FG7" s="89" t="s">
        <v>256</v>
      </c>
      <c r="FH7" s="89" t="s">
        <v>257</v>
      </c>
      <c r="FI7" s="89" t="s">
        <v>258</v>
      </c>
      <c r="FJ7" s="89" t="s">
        <v>259</v>
      </c>
      <c r="FK7" s="89" t="s">
        <v>260</v>
      </c>
      <c r="FL7" s="79" t="s">
        <v>261</v>
      </c>
      <c r="FM7" s="79" t="s">
        <v>262</v>
      </c>
      <c r="FN7" s="89" t="s">
        <v>263</v>
      </c>
      <c r="FO7" s="89" t="s">
        <v>264</v>
      </c>
      <c r="FP7" s="89" t="s">
        <v>265</v>
      </c>
      <c r="FQ7" s="79" t="s">
        <v>266</v>
      </c>
      <c r="FR7" s="79" t="s">
        <v>267</v>
      </c>
      <c r="FS7" s="79" t="s">
        <v>268</v>
      </c>
      <c r="FT7" s="79" t="s">
        <v>269</v>
      </c>
      <c r="FU7" s="79" t="s">
        <v>270</v>
      </c>
      <c r="FV7" s="79" t="s">
        <v>271</v>
      </c>
      <c r="FW7" s="79" t="s">
        <v>272</v>
      </c>
      <c r="FX7" s="79" t="s">
        <v>273</v>
      </c>
      <c r="FY7" s="79" t="s">
        <v>274</v>
      </c>
      <c r="FZ7" s="79" t="s">
        <v>275</v>
      </c>
      <c r="GA7" s="79" t="s">
        <v>276</v>
      </c>
      <c r="GB7" s="79" t="s">
        <v>277</v>
      </c>
      <c r="GC7" s="79" t="s">
        <v>278</v>
      </c>
      <c r="GD7" s="79" t="s">
        <v>279</v>
      </c>
      <c r="GE7" s="79" t="s">
        <v>280</v>
      </c>
    </row>
    <row r="8" spans="1:187" ht="27" customHeight="1" thickBot="1" x14ac:dyDescent="0.25">
      <c r="A8" s="73" t="s">
        <v>27</v>
      </c>
      <c r="B8" s="74"/>
      <c r="C8" s="75"/>
      <c r="D8" s="80" t="s">
        <v>135</v>
      </c>
      <c r="E8" s="81" t="s">
        <v>136</v>
      </c>
      <c r="F8" s="81" t="s">
        <v>135</v>
      </c>
      <c r="G8" s="81" t="s">
        <v>137</v>
      </c>
      <c r="H8" s="81" t="s">
        <v>136</v>
      </c>
      <c r="I8" s="81" t="s">
        <v>138</v>
      </c>
      <c r="J8" s="81" t="s">
        <v>136</v>
      </c>
      <c r="K8" s="81" t="s">
        <v>139</v>
      </c>
      <c r="L8" s="81" t="s">
        <v>135</v>
      </c>
      <c r="M8" s="81" t="s">
        <v>136</v>
      </c>
      <c r="N8" s="81" t="s">
        <v>139</v>
      </c>
      <c r="O8" s="81" t="s">
        <v>140</v>
      </c>
      <c r="P8" s="81" t="s">
        <v>136</v>
      </c>
      <c r="Q8" s="81" t="s">
        <v>138</v>
      </c>
      <c r="R8" s="81" t="s">
        <v>141</v>
      </c>
      <c r="S8" s="82" t="s">
        <v>137</v>
      </c>
      <c r="T8" s="61" t="s">
        <v>137</v>
      </c>
      <c r="U8" s="81" t="s">
        <v>139</v>
      </c>
      <c r="V8" s="81" t="s">
        <v>140</v>
      </c>
      <c r="W8" s="81" t="s">
        <v>135</v>
      </c>
      <c r="X8" s="81" t="s">
        <v>142</v>
      </c>
      <c r="Y8" s="82" t="s">
        <v>140</v>
      </c>
      <c r="Z8" s="81" t="s">
        <v>142</v>
      </c>
      <c r="AA8" s="81" t="s">
        <v>143</v>
      </c>
      <c r="AB8" s="81" t="s">
        <v>140</v>
      </c>
      <c r="AC8" s="81" t="s">
        <v>144</v>
      </c>
      <c r="AD8" s="82" t="s">
        <v>139</v>
      </c>
      <c r="AE8" s="82" t="s">
        <v>136</v>
      </c>
      <c r="AF8" s="81" t="s">
        <v>143</v>
      </c>
      <c r="AG8" s="81" t="s">
        <v>140</v>
      </c>
      <c r="AH8" s="81" t="s">
        <v>139</v>
      </c>
      <c r="AI8" s="81" t="s">
        <v>143</v>
      </c>
      <c r="AJ8" s="82" t="s">
        <v>136</v>
      </c>
      <c r="AK8" s="82" t="s">
        <v>143</v>
      </c>
      <c r="AL8" s="81" t="s">
        <v>137</v>
      </c>
      <c r="AM8" s="81" t="s">
        <v>145</v>
      </c>
      <c r="AN8" s="81" t="s">
        <v>135</v>
      </c>
      <c r="AO8" s="81" t="s">
        <v>146</v>
      </c>
      <c r="AP8" s="81" t="s">
        <v>141</v>
      </c>
      <c r="AQ8" s="81" t="s">
        <v>136</v>
      </c>
      <c r="AR8" s="82" t="s">
        <v>135</v>
      </c>
      <c r="AS8" s="81" t="s">
        <v>140</v>
      </c>
      <c r="AT8" s="81" t="s">
        <v>136</v>
      </c>
      <c r="AU8" s="81" t="s">
        <v>147</v>
      </c>
      <c r="AV8" s="81" t="s">
        <v>136</v>
      </c>
      <c r="AW8" s="81" t="s">
        <v>141</v>
      </c>
      <c r="AX8" s="81" t="s">
        <v>140</v>
      </c>
      <c r="AY8" s="81" t="s">
        <v>136</v>
      </c>
      <c r="AZ8" s="81" t="s">
        <v>139</v>
      </c>
      <c r="BA8" s="81" t="s">
        <v>137</v>
      </c>
      <c r="BB8" s="83" t="s">
        <v>148</v>
      </c>
      <c r="BC8" s="83" t="s">
        <v>142</v>
      </c>
      <c r="BD8" s="83" t="s">
        <v>149</v>
      </c>
      <c r="BE8" s="83" t="s">
        <v>148</v>
      </c>
      <c r="BF8" s="83" t="s">
        <v>148</v>
      </c>
      <c r="BG8" s="83" t="s">
        <v>135</v>
      </c>
      <c r="BH8" s="84" t="s">
        <v>143</v>
      </c>
      <c r="BI8" s="84" t="s">
        <v>143</v>
      </c>
      <c r="BJ8" s="83" t="s">
        <v>150</v>
      </c>
      <c r="BK8" s="83" t="s">
        <v>151</v>
      </c>
      <c r="BL8" s="84" t="s">
        <v>136</v>
      </c>
      <c r="BM8" s="83" t="s">
        <v>137</v>
      </c>
      <c r="BN8" s="86" t="s">
        <v>142</v>
      </c>
      <c r="BO8" s="83" t="s">
        <v>137</v>
      </c>
      <c r="BP8" s="83" t="s">
        <v>212</v>
      </c>
      <c r="BQ8" s="83" t="s">
        <v>137</v>
      </c>
      <c r="BR8" s="83" t="s">
        <v>148</v>
      </c>
      <c r="BS8" s="83" t="s">
        <v>142</v>
      </c>
      <c r="BT8" s="83" t="s">
        <v>137</v>
      </c>
      <c r="BU8" s="83" t="s">
        <v>212</v>
      </c>
      <c r="BV8" s="83" t="s">
        <v>213</v>
      </c>
      <c r="BW8" s="83" t="s">
        <v>149</v>
      </c>
      <c r="BX8" s="84" t="s">
        <v>143</v>
      </c>
      <c r="BY8" s="83" t="s">
        <v>137</v>
      </c>
      <c r="BZ8" s="84" t="s">
        <v>143</v>
      </c>
      <c r="CA8" s="84" t="s">
        <v>136</v>
      </c>
      <c r="CB8" s="84" t="s">
        <v>143</v>
      </c>
      <c r="CC8" s="83" t="s">
        <v>214</v>
      </c>
      <c r="CD8" s="83" t="s">
        <v>139</v>
      </c>
      <c r="CE8" s="83" t="s">
        <v>215</v>
      </c>
      <c r="CF8" s="83" t="s">
        <v>139</v>
      </c>
      <c r="CG8" s="83" t="s">
        <v>148</v>
      </c>
      <c r="CH8" s="84" t="s">
        <v>143</v>
      </c>
      <c r="CI8" s="83" t="s">
        <v>140</v>
      </c>
      <c r="CJ8" s="83" t="s">
        <v>140</v>
      </c>
      <c r="CK8" s="84" t="s">
        <v>143</v>
      </c>
      <c r="CL8" s="83"/>
      <c r="CM8" s="83" t="s">
        <v>140</v>
      </c>
      <c r="CN8" s="83" t="s">
        <v>216</v>
      </c>
      <c r="CO8" s="83" t="s">
        <v>216</v>
      </c>
      <c r="CP8" s="83" t="s">
        <v>216</v>
      </c>
      <c r="CQ8" s="83" t="s">
        <v>137</v>
      </c>
      <c r="CR8" s="83" t="s">
        <v>137</v>
      </c>
      <c r="CS8" s="83" t="s">
        <v>137</v>
      </c>
      <c r="CT8" s="83" t="s">
        <v>215</v>
      </c>
      <c r="CU8" s="83" t="s">
        <v>142</v>
      </c>
      <c r="CV8" s="83" t="s">
        <v>150</v>
      </c>
      <c r="CW8" s="83" t="s">
        <v>137</v>
      </c>
      <c r="CX8" s="84" t="s">
        <v>136</v>
      </c>
      <c r="CY8" s="83" t="s">
        <v>149</v>
      </c>
      <c r="CZ8" s="83" t="s">
        <v>135</v>
      </c>
      <c r="DA8" s="83" t="s">
        <v>139</v>
      </c>
      <c r="DB8" s="83" t="s">
        <v>137</v>
      </c>
      <c r="DC8" s="83" t="s">
        <v>142</v>
      </c>
      <c r="DD8" s="83" t="s">
        <v>135</v>
      </c>
      <c r="DE8" s="84" t="s">
        <v>143</v>
      </c>
      <c r="DF8" s="84" t="s">
        <v>136</v>
      </c>
      <c r="DG8" s="83" t="s">
        <v>217</v>
      </c>
      <c r="DH8" s="83" t="s">
        <v>218</v>
      </c>
      <c r="DI8" s="84" t="s">
        <v>143</v>
      </c>
      <c r="DJ8" s="83" t="s">
        <v>137</v>
      </c>
      <c r="DK8" s="83" t="s">
        <v>149</v>
      </c>
      <c r="DL8" s="83" t="s">
        <v>212</v>
      </c>
      <c r="DM8" s="83" t="s">
        <v>137</v>
      </c>
      <c r="DN8" s="83" t="s">
        <v>219</v>
      </c>
      <c r="DO8" s="83" t="s">
        <v>150</v>
      </c>
      <c r="DP8" s="83" t="s">
        <v>212</v>
      </c>
      <c r="DQ8" s="83" t="s">
        <v>135</v>
      </c>
      <c r="DR8" s="83" t="s">
        <v>137</v>
      </c>
      <c r="DS8" s="83" t="s">
        <v>220</v>
      </c>
      <c r="DT8" s="83" t="s">
        <v>148</v>
      </c>
      <c r="DU8" s="84" t="s">
        <v>136</v>
      </c>
      <c r="DV8" s="83" t="s">
        <v>135</v>
      </c>
      <c r="DW8" s="83" t="s">
        <v>151</v>
      </c>
      <c r="DX8" s="87" t="s">
        <v>150</v>
      </c>
      <c r="DY8" s="88" t="s">
        <v>216</v>
      </c>
      <c r="DZ8" s="86" t="s">
        <v>217</v>
      </c>
      <c r="EA8" s="83" t="s">
        <v>139</v>
      </c>
      <c r="EB8" s="83" t="s">
        <v>142</v>
      </c>
      <c r="EC8" s="83" t="s">
        <v>137</v>
      </c>
      <c r="ED8" s="84" t="s">
        <v>136</v>
      </c>
      <c r="EE8" s="83" t="s">
        <v>142</v>
      </c>
      <c r="EF8" s="83" t="s">
        <v>214</v>
      </c>
      <c r="EG8" s="83" t="s">
        <v>213</v>
      </c>
      <c r="EH8" s="84" t="s">
        <v>143</v>
      </c>
      <c r="EI8" s="83" t="s">
        <v>149</v>
      </c>
      <c r="EJ8" s="83" t="s">
        <v>137</v>
      </c>
      <c r="EK8" s="90" t="s">
        <v>215</v>
      </c>
      <c r="EL8" s="90" t="s">
        <v>139</v>
      </c>
      <c r="EM8" s="90" t="s">
        <v>212</v>
      </c>
      <c r="EN8" s="90" t="s">
        <v>137</v>
      </c>
      <c r="EO8" s="90" t="s">
        <v>140</v>
      </c>
      <c r="EP8" s="90" t="s">
        <v>139</v>
      </c>
      <c r="EQ8" s="90" t="s">
        <v>140</v>
      </c>
      <c r="ER8" s="91" t="s">
        <v>136</v>
      </c>
      <c r="ES8" s="91" t="s">
        <v>136</v>
      </c>
      <c r="ET8" s="91" t="s">
        <v>142</v>
      </c>
      <c r="EU8" s="91" t="s">
        <v>217</v>
      </c>
      <c r="EV8" s="91" t="s">
        <v>137</v>
      </c>
      <c r="EW8" s="91" t="s">
        <v>212</v>
      </c>
      <c r="EX8" s="91" t="s">
        <v>137</v>
      </c>
      <c r="EY8" s="91" t="s">
        <v>136</v>
      </c>
      <c r="EZ8" s="91" t="s">
        <v>148</v>
      </c>
      <c r="FA8" s="90" t="s">
        <v>142</v>
      </c>
      <c r="FB8" s="90" t="s">
        <v>140</v>
      </c>
      <c r="FC8" s="90" t="s">
        <v>142</v>
      </c>
      <c r="FD8" s="90" t="s">
        <v>150</v>
      </c>
      <c r="FE8" s="90" t="s">
        <v>215</v>
      </c>
      <c r="FF8" s="90"/>
      <c r="FG8" s="92" t="s">
        <v>212</v>
      </c>
      <c r="FH8" s="93" t="s">
        <v>136</v>
      </c>
      <c r="FI8" s="90" t="s">
        <v>139</v>
      </c>
      <c r="FJ8" s="91" t="s">
        <v>136</v>
      </c>
      <c r="FK8" s="90" t="s">
        <v>151</v>
      </c>
      <c r="FL8" s="91" t="s">
        <v>136</v>
      </c>
      <c r="FM8" s="90" t="s">
        <v>137</v>
      </c>
      <c r="FN8" s="91" t="s">
        <v>143</v>
      </c>
      <c r="FO8" s="90" t="s">
        <v>149</v>
      </c>
      <c r="FP8" s="90" t="s">
        <v>137</v>
      </c>
      <c r="FQ8" s="90" t="s">
        <v>135</v>
      </c>
      <c r="FR8" s="90" t="s">
        <v>140</v>
      </c>
      <c r="FS8" s="90" t="s">
        <v>140</v>
      </c>
      <c r="FT8" s="90" t="s">
        <v>140</v>
      </c>
      <c r="FU8" s="90" t="s">
        <v>140</v>
      </c>
      <c r="FV8" s="90" t="s">
        <v>140</v>
      </c>
      <c r="FW8" s="90" t="s">
        <v>150</v>
      </c>
      <c r="FX8" s="91" t="s">
        <v>136</v>
      </c>
      <c r="FY8" s="90" t="s">
        <v>281</v>
      </c>
      <c r="FZ8" s="90" t="s">
        <v>142</v>
      </c>
      <c r="GA8" s="90" t="s">
        <v>139</v>
      </c>
      <c r="GB8" s="90" t="s">
        <v>282</v>
      </c>
      <c r="GC8" s="90" t="s">
        <v>135</v>
      </c>
      <c r="GD8" s="90" t="s">
        <v>136</v>
      </c>
      <c r="GE8" s="90" t="s">
        <v>140</v>
      </c>
    </row>
    <row r="9" spans="1:187" ht="57" thickBot="1" x14ac:dyDescent="0.25">
      <c r="A9" s="50" t="s">
        <v>28</v>
      </c>
      <c r="B9" s="51" t="s">
        <v>29</v>
      </c>
      <c r="C9" s="51" t="s">
        <v>30</v>
      </c>
      <c r="D9" s="19" t="s">
        <v>0</v>
      </c>
      <c r="E9" s="19" t="s">
        <v>0</v>
      </c>
      <c r="F9" s="19" t="s">
        <v>0</v>
      </c>
      <c r="G9" s="19" t="s">
        <v>1</v>
      </c>
      <c r="H9" s="19" t="s">
        <v>0</v>
      </c>
      <c r="I9" s="19" t="s">
        <v>0</v>
      </c>
      <c r="J9" s="19" t="s">
        <v>0</v>
      </c>
      <c r="K9" s="19" t="s">
        <v>1</v>
      </c>
      <c r="L9" s="19" t="s">
        <v>1</v>
      </c>
      <c r="M9" s="19" t="s">
        <v>1</v>
      </c>
      <c r="N9" s="19" t="s">
        <v>1</v>
      </c>
      <c r="O9" s="19" t="s">
        <v>1</v>
      </c>
      <c r="P9" s="19" t="s">
        <v>1</v>
      </c>
      <c r="Q9" s="19" t="s">
        <v>1</v>
      </c>
      <c r="R9" s="19" t="s">
        <v>1</v>
      </c>
      <c r="S9" s="19" t="s">
        <v>1</v>
      </c>
      <c r="T9" s="19" t="s">
        <v>1</v>
      </c>
      <c r="U9" s="19" t="s">
        <v>1</v>
      </c>
      <c r="V9" s="19" t="s">
        <v>1</v>
      </c>
      <c r="W9" s="19" t="s">
        <v>1</v>
      </c>
      <c r="X9" s="19" t="s">
        <v>1</v>
      </c>
      <c r="Y9" s="19" t="s">
        <v>1</v>
      </c>
      <c r="Z9" s="19" t="s">
        <v>7</v>
      </c>
      <c r="AA9" s="19" t="s">
        <v>1</v>
      </c>
      <c r="AB9" s="19" t="s">
        <v>1</v>
      </c>
      <c r="AC9" s="19" t="s">
        <v>1</v>
      </c>
      <c r="AD9" s="19" t="s">
        <v>1</v>
      </c>
      <c r="AE9" s="19" t="s">
        <v>1</v>
      </c>
      <c r="AF9" s="19" t="s">
        <v>1</v>
      </c>
      <c r="AG9" s="19" t="s">
        <v>1</v>
      </c>
      <c r="AH9" s="19" t="s">
        <v>1</v>
      </c>
      <c r="AI9" s="19" t="s">
        <v>1</v>
      </c>
      <c r="AJ9" s="19" t="s">
        <v>1</v>
      </c>
      <c r="AK9" s="19" t="s">
        <v>1</v>
      </c>
      <c r="AL9" s="19" t="s">
        <v>1</v>
      </c>
      <c r="AM9" s="19" t="s">
        <v>1</v>
      </c>
      <c r="AN9" s="19" t="s">
        <v>1</v>
      </c>
      <c r="AO9" s="19" t="s">
        <v>1</v>
      </c>
      <c r="AP9" s="19" t="s">
        <v>1</v>
      </c>
      <c r="AQ9" s="19" t="s">
        <v>1</v>
      </c>
      <c r="AR9" s="19" t="s">
        <v>1</v>
      </c>
      <c r="AS9" s="19" t="s">
        <v>1</v>
      </c>
      <c r="AT9" s="19" t="s">
        <v>1</v>
      </c>
      <c r="AU9" s="19" t="s">
        <v>1</v>
      </c>
      <c r="AV9" s="19" t="s">
        <v>1</v>
      </c>
      <c r="AW9" s="19" t="s">
        <v>1</v>
      </c>
      <c r="AX9" s="19" t="s">
        <v>1</v>
      </c>
      <c r="AY9" s="19" t="s">
        <v>1</v>
      </c>
      <c r="AZ9" s="19" t="s">
        <v>1</v>
      </c>
      <c r="BA9" s="19" t="s">
        <v>1</v>
      </c>
      <c r="BB9" s="20" t="s">
        <v>1</v>
      </c>
      <c r="BC9" s="20" t="s">
        <v>1</v>
      </c>
      <c r="BD9" s="20" t="s">
        <v>1</v>
      </c>
      <c r="BE9" s="20" t="s">
        <v>1</v>
      </c>
      <c r="BF9" s="20" t="s">
        <v>1</v>
      </c>
      <c r="BG9" s="20" t="s">
        <v>1</v>
      </c>
      <c r="BH9" s="20" t="s">
        <v>1</v>
      </c>
      <c r="BI9" s="20" t="s">
        <v>1</v>
      </c>
      <c r="BJ9" s="20" t="s">
        <v>1</v>
      </c>
      <c r="BK9" s="20" t="s">
        <v>1</v>
      </c>
      <c r="BL9" s="20" t="s">
        <v>1</v>
      </c>
      <c r="BM9" s="20" t="s">
        <v>1</v>
      </c>
      <c r="BN9" s="20" t="s">
        <v>1</v>
      </c>
      <c r="BO9" s="20" t="s">
        <v>1</v>
      </c>
      <c r="BP9" s="20" t="s">
        <v>1</v>
      </c>
      <c r="BQ9" s="20" t="s">
        <v>1</v>
      </c>
      <c r="BR9" s="20" t="s">
        <v>1</v>
      </c>
      <c r="BS9" s="20" t="s">
        <v>1</v>
      </c>
      <c r="BT9" s="20" t="s">
        <v>1</v>
      </c>
      <c r="BU9" s="20" t="s">
        <v>1</v>
      </c>
      <c r="BV9" s="20" t="s">
        <v>1</v>
      </c>
      <c r="BW9" s="20" t="s">
        <v>1</v>
      </c>
      <c r="BX9" s="20" t="s">
        <v>1</v>
      </c>
      <c r="BY9" s="20" t="s">
        <v>1</v>
      </c>
      <c r="BZ9" s="20" t="s">
        <v>1</v>
      </c>
      <c r="CA9" s="20" t="s">
        <v>1</v>
      </c>
      <c r="CB9" s="20" t="s">
        <v>1</v>
      </c>
      <c r="CC9" s="20" t="s">
        <v>1</v>
      </c>
      <c r="CD9" s="20" t="s">
        <v>1</v>
      </c>
      <c r="CE9" s="20" t="s">
        <v>1</v>
      </c>
      <c r="CF9" s="20" t="s">
        <v>1</v>
      </c>
      <c r="CG9" s="20" t="s">
        <v>1</v>
      </c>
      <c r="CH9" s="20" t="s">
        <v>1</v>
      </c>
      <c r="CI9" s="20" t="s">
        <v>1</v>
      </c>
      <c r="CJ9" s="20" t="s">
        <v>1</v>
      </c>
      <c r="CK9" s="20" t="s">
        <v>1</v>
      </c>
      <c r="CL9" s="20" t="s">
        <v>2</v>
      </c>
      <c r="CM9" s="20" t="s">
        <v>1</v>
      </c>
      <c r="CN9" s="20" t="s">
        <v>1</v>
      </c>
      <c r="CO9" s="20" t="s">
        <v>1</v>
      </c>
      <c r="CP9" s="20" t="s">
        <v>1</v>
      </c>
      <c r="CQ9" s="20" t="s">
        <v>1</v>
      </c>
      <c r="CR9" s="20" t="s">
        <v>1</v>
      </c>
      <c r="CS9" s="20" t="s">
        <v>1</v>
      </c>
      <c r="CT9" s="20" t="s">
        <v>1</v>
      </c>
      <c r="CU9" s="20" t="s">
        <v>1</v>
      </c>
      <c r="CV9" s="20" t="s">
        <v>1</v>
      </c>
      <c r="CW9" s="20" t="s">
        <v>1</v>
      </c>
      <c r="CX9" s="20" t="s">
        <v>1</v>
      </c>
      <c r="CY9" s="20" t="s">
        <v>1</v>
      </c>
      <c r="CZ9" s="20" t="s">
        <v>0</v>
      </c>
      <c r="DA9" s="20" t="s">
        <v>1</v>
      </c>
      <c r="DB9" s="20" t="s">
        <v>1</v>
      </c>
      <c r="DC9" s="20" t="s">
        <v>1</v>
      </c>
      <c r="DD9" s="20" t="s">
        <v>1</v>
      </c>
      <c r="DE9" s="20" t="s">
        <v>1</v>
      </c>
      <c r="DF9" s="20" t="s">
        <v>1</v>
      </c>
      <c r="DG9" s="20" t="s">
        <v>1</v>
      </c>
      <c r="DH9" s="20" t="s">
        <v>1</v>
      </c>
      <c r="DI9" s="20" t="s">
        <v>1</v>
      </c>
      <c r="DJ9" s="20" t="s">
        <v>1</v>
      </c>
      <c r="DK9" s="20" t="s">
        <v>283</v>
      </c>
      <c r="DL9" s="20" t="s">
        <v>1</v>
      </c>
      <c r="DM9" s="20" t="s">
        <v>1</v>
      </c>
      <c r="DN9" s="20" t="s">
        <v>1</v>
      </c>
      <c r="DO9" s="20" t="s">
        <v>1</v>
      </c>
      <c r="DP9" s="20" t="s">
        <v>1</v>
      </c>
      <c r="DQ9" s="20" t="s">
        <v>1</v>
      </c>
      <c r="DR9" s="20" t="s">
        <v>1</v>
      </c>
      <c r="DS9" s="20" t="s">
        <v>1</v>
      </c>
      <c r="DT9" s="20" t="s">
        <v>0</v>
      </c>
      <c r="DU9" s="20" t="s">
        <v>2</v>
      </c>
      <c r="DV9" s="20" t="s">
        <v>1</v>
      </c>
      <c r="DW9" s="20" t="s">
        <v>1</v>
      </c>
      <c r="DX9" s="20" t="s">
        <v>283</v>
      </c>
      <c r="DY9" s="20" t="s">
        <v>0</v>
      </c>
      <c r="DZ9" s="20" t="s">
        <v>1</v>
      </c>
      <c r="EA9" s="20" t="s">
        <v>1</v>
      </c>
      <c r="EB9" s="20" t="s">
        <v>1</v>
      </c>
      <c r="EC9" s="20" t="s">
        <v>1</v>
      </c>
      <c r="ED9" s="20" t="s">
        <v>1</v>
      </c>
      <c r="EE9" s="20" t="s">
        <v>1</v>
      </c>
      <c r="EF9" s="20" t="s">
        <v>1</v>
      </c>
      <c r="EG9" s="20" t="s">
        <v>1</v>
      </c>
      <c r="EH9" s="20" t="s">
        <v>1</v>
      </c>
      <c r="EI9" s="20" t="s">
        <v>1</v>
      </c>
      <c r="EJ9" s="20" t="s">
        <v>1</v>
      </c>
      <c r="EK9" s="20" t="s">
        <v>1</v>
      </c>
      <c r="EL9" s="20" t="s">
        <v>1</v>
      </c>
      <c r="EM9" s="20" t="s">
        <v>1</v>
      </c>
      <c r="EN9" s="20" t="s">
        <v>1</v>
      </c>
      <c r="EO9" s="20" t="s">
        <v>1</v>
      </c>
      <c r="EP9" s="20" t="s">
        <v>1</v>
      </c>
      <c r="EQ9" s="20" t="s">
        <v>1</v>
      </c>
      <c r="ER9" s="20" t="s">
        <v>1</v>
      </c>
      <c r="ES9" s="20" t="s">
        <v>1</v>
      </c>
      <c r="ET9" s="20" t="s">
        <v>1</v>
      </c>
      <c r="EU9" s="20" t="s">
        <v>1</v>
      </c>
      <c r="EV9" s="20" t="s">
        <v>1</v>
      </c>
      <c r="EW9" s="20" t="s">
        <v>1</v>
      </c>
      <c r="EX9" s="20" t="s">
        <v>1</v>
      </c>
      <c r="EY9" s="20" t="s">
        <v>1</v>
      </c>
      <c r="EZ9" s="20" t="s">
        <v>0</v>
      </c>
      <c r="FA9" s="20" t="s">
        <v>1</v>
      </c>
      <c r="FB9" s="20" t="s">
        <v>1</v>
      </c>
      <c r="FC9" s="20" t="s">
        <v>1</v>
      </c>
      <c r="FD9" s="20" t="s">
        <v>1</v>
      </c>
      <c r="FE9" s="20" t="s">
        <v>284</v>
      </c>
      <c r="FF9" s="20" t="s">
        <v>1</v>
      </c>
      <c r="FG9" s="20" t="s">
        <v>1</v>
      </c>
      <c r="FH9" s="20" t="s">
        <v>1</v>
      </c>
      <c r="FI9" s="20" t="s">
        <v>1</v>
      </c>
      <c r="FJ9" s="20" t="s">
        <v>1</v>
      </c>
      <c r="FK9" s="20" t="s">
        <v>1</v>
      </c>
      <c r="FL9" s="20" t="s">
        <v>1</v>
      </c>
      <c r="FM9" s="20" t="s">
        <v>1</v>
      </c>
      <c r="FN9" s="20" t="s">
        <v>1</v>
      </c>
      <c r="FO9" s="20" t="s">
        <v>1</v>
      </c>
      <c r="FP9" s="20" t="s">
        <v>1</v>
      </c>
      <c r="FQ9" s="20" t="s">
        <v>1</v>
      </c>
      <c r="FR9" s="20" t="s">
        <v>1</v>
      </c>
      <c r="FS9" s="20" t="s">
        <v>1</v>
      </c>
      <c r="FT9" s="20" t="s">
        <v>1</v>
      </c>
      <c r="FU9" s="20" t="s">
        <v>1</v>
      </c>
      <c r="FV9" s="20" t="s">
        <v>1</v>
      </c>
      <c r="FW9" s="20" t="s">
        <v>1</v>
      </c>
      <c r="FX9" s="20" t="s">
        <v>1</v>
      </c>
      <c r="FY9" s="20" t="s">
        <v>284</v>
      </c>
      <c r="FZ9" s="20" t="s">
        <v>1</v>
      </c>
      <c r="GA9" s="20" t="s">
        <v>1</v>
      </c>
      <c r="GB9" s="20" t="s">
        <v>1</v>
      </c>
      <c r="GC9" s="20" t="s">
        <v>1</v>
      </c>
      <c r="GD9" s="20" t="s">
        <v>1</v>
      </c>
      <c r="GE9" s="20" t="s">
        <v>1</v>
      </c>
    </row>
    <row r="10" spans="1:187" ht="15.75" thickBot="1" x14ac:dyDescent="0.25">
      <c r="A10" s="52" t="s">
        <v>31</v>
      </c>
      <c r="B10" s="53" t="s">
        <v>6</v>
      </c>
      <c r="C10" s="54">
        <f>SUM(C12:C20)</f>
        <v>416327196.87899995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2"/>
      <c r="T10" s="21"/>
      <c r="U10" s="22"/>
      <c r="V10" s="21"/>
      <c r="W10" s="21"/>
      <c r="X10" s="21"/>
      <c r="Y10" s="22"/>
      <c r="Z10" s="21"/>
      <c r="AA10" s="21"/>
      <c r="AB10" s="21"/>
      <c r="AC10" s="21"/>
      <c r="AD10" s="21"/>
      <c r="AE10" s="22"/>
      <c r="AF10" s="21"/>
      <c r="AG10" s="21"/>
      <c r="AH10" s="21"/>
      <c r="AI10" s="21"/>
      <c r="AJ10" s="22"/>
      <c r="AK10" s="21"/>
      <c r="AL10" s="21"/>
      <c r="AM10" s="21"/>
      <c r="AN10" s="21"/>
      <c r="AO10" s="21"/>
      <c r="AP10" s="21"/>
      <c r="AQ10" s="21"/>
      <c r="AR10" s="22"/>
      <c r="AS10" s="21"/>
      <c r="AT10" s="21"/>
      <c r="AU10" s="21"/>
      <c r="AV10" s="21"/>
      <c r="AW10" s="21"/>
      <c r="AX10" s="21"/>
      <c r="AY10" s="21"/>
      <c r="AZ10" s="21"/>
      <c r="BA10" s="21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</row>
    <row r="11" spans="1:187" s="26" customFormat="1" ht="13.5" thickBot="1" x14ac:dyDescent="0.25">
      <c r="A11" s="55" t="s">
        <v>32</v>
      </c>
      <c r="B11" s="56"/>
      <c r="C11" s="56">
        <f>SUM(D12:GE12)</f>
        <v>126365541.81000002</v>
      </c>
      <c r="D11" s="24">
        <f>D12+D13+D14+D15+D16+D18+D17+D19+D20</f>
        <v>150</v>
      </c>
      <c r="E11" s="24">
        <f t="shared" ref="E11:BP11" si="1">E12+E13+E14+E15+E16+E18+E17+E19+E20</f>
        <v>15392.4</v>
      </c>
      <c r="F11" s="24">
        <f t="shared" si="1"/>
        <v>25041</v>
      </c>
      <c r="G11" s="24">
        <f t="shared" si="1"/>
        <v>18</v>
      </c>
      <c r="H11" s="24">
        <f t="shared" si="1"/>
        <v>362.29</v>
      </c>
      <c r="I11" s="24">
        <f t="shared" si="1"/>
        <v>394.5</v>
      </c>
      <c r="J11" s="24">
        <f t="shared" si="1"/>
        <v>2216.88</v>
      </c>
      <c r="K11" s="24">
        <f t="shared" si="1"/>
        <v>19884.400000000001</v>
      </c>
      <c r="L11" s="24">
        <f t="shared" si="1"/>
        <v>23704.399999999998</v>
      </c>
      <c r="M11" s="24">
        <f t="shared" si="1"/>
        <v>18963.07</v>
      </c>
      <c r="N11" s="24">
        <f t="shared" si="1"/>
        <v>13675.7</v>
      </c>
      <c r="O11" s="25">
        <f t="shared" si="1"/>
        <v>448121150.81</v>
      </c>
      <c r="P11" s="24">
        <f t="shared" si="1"/>
        <v>3607.18</v>
      </c>
      <c r="Q11" s="24">
        <f t="shared" si="1"/>
        <v>0</v>
      </c>
      <c r="R11" s="24">
        <f t="shared" si="1"/>
        <v>4277.2</v>
      </c>
      <c r="S11" s="24">
        <f t="shared" si="1"/>
        <v>235</v>
      </c>
      <c r="T11" s="24">
        <f t="shared" si="1"/>
        <v>180474.48</v>
      </c>
      <c r="U11" s="24">
        <f t="shared" si="1"/>
        <v>3378.76</v>
      </c>
      <c r="V11" s="24">
        <f t="shared" si="1"/>
        <v>828983.2</v>
      </c>
      <c r="W11" s="24">
        <f t="shared" si="1"/>
        <v>8184.2</v>
      </c>
      <c r="X11" s="24">
        <f t="shared" si="1"/>
        <v>73.3</v>
      </c>
      <c r="Y11" s="24">
        <f t="shared" si="1"/>
        <v>6967214.2000000002</v>
      </c>
      <c r="Z11" s="24">
        <f t="shared" si="1"/>
        <v>38960</v>
      </c>
      <c r="AA11" s="24">
        <f>AA12+AA13+AA14+AA15+AA16+AA18+AA17+AA19+AA20</f>
        <v>51.4</v>
      </c>
      <c r="AB11" s="24">
        <f t="shared" si="1"/>
        <v>833504.39999999991</v>
      </c>
      <c r="AC11" s="24">
        <f t="shared" si="1"/>
        <v>30.4</v>
      </c>
      <c r="AD11" s="24">
        <f t="shared" si="1"/>
        <v>1171.8</v>
      </c>
      <c r="AE11" s="24">
        <f t="shared" si="1"/>
        <v>116065.56</v>
      </c>
      <c r="AF11" s="24">
        <f t="shared" si="1"/>
        <v>0</v>
      </c>
      <c r="AG11" s="24">
        <f t="shared" si="1"/>
        <v>169669.12</v>
      </c>
      <c r="AH11" s="24">
        <f t="shared" si="1"/>
        <v>0</v>
      </c>
      <c r="AI11" s="24">
        <f t="shared" si="1"/>
        <v>425.9</v>
      </c>
      <c r="AJ11" s="24">
        <f t="shared" si="1"/>
        <v>0</v>
      </c>
      <c r="AK11" s="24">
        <f t="shared" si="1"/>
        <v>5660.8</v>
      </c>
      <c r="AL11" s="24">
        <f t="shared" si="1"/>
        <v>44.5</v>
      </c>
      <c r="AM11" s="24">
        <f t="shared" si="1"/>
        <v>2357.4</v>
      </c>
      <c r="AN11" s="24">
        <f t="shared" si="1"/>
        <v>12751.300000000001</v>
      </c>
      <c r="AO11" s="24">
        <f t="shared" si="1"/>
        <v>968.9</v>
      </c>
      <c r="AP11" s="24">
        <f t="shared" si="1"/>
        <v>9237.9000000000015</v>
      </c>
      <c r="AQ11" s="24">
        <f t="shared" si="1"/>
        <v>13265.869999999999</v>
      </c>
      <c r="AR11" s="24">
        <f t="shared" si="1"/>
        <v>4449374.1000000006</v>
      </c>
      <c r="AS11" s="24">
        <f t="shared" si="1"/>
        <v>22249050.079999998</v>
      </c>
      <c r="AT11" s="24">
        <f t="shared" si="1"/>
        <v>35439.300000000003</v>
      </c>
      <c r="AU11" s="24">
        <f t="shared" si="1"/>
        <v>50</v>
      </c>
      <c r="AV11" s="24">
        <f t="shared" si="1"/>
        <v>123632.49</v>
      </c>
      <c r="AW11" s="24">
        <f t="shared" si="1"/>
        <v>39646</v>
      </c>
      <c r="AX11" s="24">
        <f t="shared" si="1"/>
        <v>1037996.13</v>
      </c>
      <c r="AY11" s="24">
        <f t="shared" si="1"/>
        <v>114168.5</v>
      </c>
      <c r="AZ11" s="24">
        <f t="shared" si="1"/>
        <v>29284.420000000002</v>
      </c>
      <c r="BA11" s="24">
        <f t="shared" si="1"/>
        <v>20895.7</v>
      </c>
      <c r="BB11" s="24">
        <f t="shared" si="1"/>
        <v>42765.1</v>
      </c>
      <c r="BC11" s="24">
        <f t="shared" si="1"/>
        <v>33412.800000000003</v>
      </c>
      <c r="BD11" s="24">
        <f t="shared" si="1"/>
        <v>24.6</v>
      </c>
      <c r="BE11" s="24">
        <f t="shared" si="1"/>
        <v>2331.6000000000004</v>
      </c>
      <c r="BF11" s="24">
        <f t="shared" si="1"/>
        <v>3304.6000000000004</v>
      </c>
      <c r="BG11" s="24">
        <f t="shared" si="1"/>
        <v>65001.3</v>
      </c>
      <c r="BH11" s="24">
        <f t="shared" si="1"/>
        <v>10512.6</v>
      </c>
      <c r="BI11" s="24">
        <f t="shared" si="1"/>
        <v>6215.9</v>
      </c>
      <c r="BJ11" s="24">
        <f t="shared" si="1"/>
        <v>0</v>
      </c>
      <c r="BK11" s="24">
        <f t="shared" si="1"/>
        <v>25542</v>
      </c>
      <c r="BL11" s="24">
        <f t="shared" si="1"/>
        <v>193933.01</v>
      </c>
      <c r="BM11" s="24">
        <f t="shared" si="1"/>
        <v>9257.2999999999993</v>
      </c>
      <c r="BN11" s="24">
        <f t="shared" si="1"/>
        <v>23613.3</v>
      </c>
      <c r="BO11" s="24">
        <f t="shared" si="1"/>
        <v>499.7</v>
      </c>
      <c r="BP11" s="24">
        <f t="shared" si="1"/>
        <v>15599.2</v>
      </c>
      <c r="BQ11" s="24">
        <f t="shared" ref="BQ11:EB11" si="2">BQ12+BQ13+BQ14+BQ15+BQ16+BQ18+BQ17+BQ19+BQ20</f>
        <v>128772.3</v>
      </c>
      <c r="BR11" s="24">
        <f t="shared" si="2"/>
        <v>46.7</v>
      </c>
      <c r="BS11" s="24">
        <f t="shared" si="2"/>
        <v>20157.2</v>
      </c>
      <c r="BT11" s="24">
        <f t="shared" si="2"/>
        <v>7197.2</v>
      </c>
      <c r="BU11" s="24">
        <f t="shared" si="2"/>
        <v>644</v>
      </c>
      <c r="BV11" s="24">
        <f t="shared" si="2"/>
        <v>958.1</v>
      </c>
      <c r="BW11" s="24">
        <f t="shared" si="2"/>
        <v>1260.21</v>
      </c>
      <c r="BX11" s="24">
        <f t="shared" si="2"/>
        <v>96469.1</v>
      </c>
      <c r="BY11" s="24">
        <f t="shared" si="2"/>
        <v>0</v>
      </c>
      <c r="BZ11" s="24">
        <f t="shared" si="2"/>
        <v>45346.22</v>
      </c>
      <c r="CA11" s="24">
        <f t="shared" si="2"/>
        <v>1320.7</v>
      </c>
      <c r="CB11" s="24">
        <f t="shared" si="2"/>
        <v>189.3</v>
      </c>
      <c r="CC11" s="24">
        <f t="shared" si="2"/>
        <v>3325.1</v>
      </c>
      <c r="CD11" s="24">
        <f t="shared" si="2"/>
        <v>3644</v>
      </c>
      <c r="CE11" s="24">
        <f t="shared" si="2"/>
        <v>10039.259999999998</v>
      </c>
      <c r="CF11" s="24">
        <f t="shared" si="2"/>
        <v>31722.86</v>
      </c>
      <c r="CG11" s="24">
        <f t="shared" si="2"/>
        <v>26067.1</v>
      </c>
      <c r="CH11" s="24">
        <f t="shared" si="2"/>
        <v>2740</v>
      </c>
      <c r="CI11" s="24">
        <f t="shared" si="2"/>
        <v>381493.4</v>
      </c>
      <c r="CJ11" s="24">
        <f t="shared" si="2"/>
        <v>3897414.5800000005</v>
      </c>
      <c r="CK11" s="24">
        <f t="shared" si="2"/>
        <v>10</v>
      </c>
      <c r="CL11" s="24">
        <f t="shared" si="2"/>
        <v>23376.2</v>
      </c>
      <c r="CM11" s="24">
        <f t="shared" si="2"/>
        <v>2824066.5000000005</v>
      </c>
      <c r="CN11" s="24">
        <f t="shared" si="2"/>
        <v>1886</v>
      </c>
      <c r="CO11" s="24">
        <f t="shared" si="2"/>
        <v>83330.3</v>
      </c>
      <c r="CP11" s="24">
        <f t="shared" si="2"/>
        <v>1280765.79</v>
      </c>
      <c r="CQ11" s="24">
        <f t="shared" si="2"/>
        <v>99</v>
      </c>
      <c r="CR11" s="24">
        <f t="shared" si="2"/>
        <v>0</v>
      </c>
      <c r="CS11" s="24">
        <f t="shared" si="2"/>
        <v>147.69999999999999</v>
      </c>
      <c r="CT11" s="24">
        <f t="shared" si="2"/>
        <v>786</v>
      </c>
      <c r="CU11" s="24">
        <f t="shared" si="2"/>
        <v>0</v>
      </c>
      <c r="CV11" s="24">
        <f t="shared" si="2"/>
        <v>656.3</v>
      </c>
      <c r="CW11" s="24">
        <f t="shared" si="2"/>
        <v>180</v>
      </c>
      <c r="CX11" s="24">
        <f t="shared" si="2"/>
        <v>1124.6500000000001</v>
      </c>
      <c r="CY11" s="24">
        <f t="shared" si="2"/>
        <v>261.39999999999998</v>
      </c>
      <c r="CZ11" s="24">
        <f t="shared" si="2"/>
        <v>682140.2</v>
      </c>
      <c r="DA11" s="24">
        <f t="shared" si="2"/>
        <v>0</v>
      </c>
      <c r="DB11" s="24">
        <f t="shared" si="2"/>
        <v>2224.46</v>
      </c>
      <c r="DC11" s="24">
        <f t="shared" si="2"/>
        <v>10</v>
      </c>
      <c r="DD11" s="24">
        <f t="shared" si="2"/>
        <v>2381.8000000000002</v>
      </c>
      <c r="DE11" s="24">
        <f t="shared" si="2"/>
        <v>2382.8000000000002</v>
      </c>
      <c r="DF11" s="24">
        <f t="shared" si="2"/>
        <v>332583.62</v>
      </c>
      <c r="DG11" s="24">
        <f t="shared" si="2"/>
        <v>0</v>
      </c>
      <c r="DH11" s="24">
        <f t="shared" si="2"/>
        <v>6089.7</v>
      </c>
      <c r="DI11" s="24">
        <f t="shared" si="2"/>
        <v>43891.420000000006</v>
      </c>
      <c r="DJ11" s="24">
        <f t="shared" si="2"/>
        <v>10245.1</v>
      </c>
      <c r="DK11" s="24">
        <f t="shared" si="2"/>
        <v>129.80000000000001</v>
      </c>
      <c r="DL11" s="24">
        <f t="shared" si="2"/>
        <v>92616.6</v>
      </c>
      <c r="DM11" s="24">
        <f t="shared" si="2"/>
        <v>507.6</v>
      </c>
      <c r="DN11" s="24">
        <f t="shared" si="2"/>
        <v>12175.4</v>
      </c>
      <c r="DO11" s="24">
        <f t="shared" si="2"/>
        <v>101.5</v>
      </c>
      <c r="DP11" s="24">
        <f t="shared" si="2"/>
        <v>12632.400000000001</v>
      </c>
      <c r="DQ11" s="24">
        <f t="shared" si="2"/>
        <v>17067.05</v>
      </c>
      <c r="DR11" s="24">
        <f t="shared" si="2"/>
        <v>196156.30000000002</v>
      </c>
      <c r="DS11" s="24">
        <f t="shared" si="2"/>
        <v>842.3</v>
      </c>
      <c r="DT11" s="24">
        <f t="shared" si="2"/>
        <v>151.5</v>
      </c>
      <c r="DU11" s="24">
        <f t="shared" si="2"/>
        <v>4441.8</v>
      </c>
      <c r="DV11" s="24">
        <f t="shared" si="2"/>
        <v>2334.8000000000002</v>
      </c>
      <c r="DW11" s="24">
        <f t="shared" si="2"/>
        <v>69.099999999999994</v>
      </c>
      <c r="DX11" s="24">
        <f t="shared" si="2"/>
        <v>26373.200000000001</v>
      </c>
      <c r="DY11" s="24">
        <f t="shared" si="2"/>
        <v>1913.1</v>
      </c>
      <c r="DZ11" s="24">
        <f t="shared" si="2"/>
        <v>96037.4</v>
      </c>
      <c r="EA11" s="24">
        <f t="shared" si="2"/>
        <v>74965.400000000009</v>
      </c>
      <c r="EB11" s="24">
        <f t="shared" si="2"/>
        <v>20964</v>
      </c>
      <c r="EC11" s="24">
        <f t="shared" ref="EC11:GE11" si="3">EC12+EC13+EC14+EC15+EC16+EC18+EC17+EC19+EC20</f>
        <v>317278.09999999998</v>
      </c>
      <c r="ED11" s="24">
        <f t="shared" si="3"/>
        <v>2173.1</v>
      </c>
      <c r="EE11" s="24">
        <f t="shared" si="3"/>
        <v>279</v>
      </c>
      <c r="EF11" s="24">
        <f t="shared" si="3"/>
        <v>0</v>
      </c>
      <c r="EG11" s="24">
        <f t="shared" si="3"/>
        <v>1527.8</v>
      </c>
      <c r="EH11" s="24">
        <f t="shared" si="3"/>
        <v>552.25</v>
      </c>
      <c r="EI11" s="24">
        <f t="shared" si="3"/>
        <v>1185.4000000000001</v>
      </c>
      <c r="EJ11" s="24">
        <f t="shared" si="3"/>
        <v>2092.4</v>
      </c>
      <c r="EK11" s="24">
        <f t="shared" si="3"/>
        <v>0</v>
      </c>
      <c r="EL11" s="24">
        <f t="shared" si="3"/>
        <v>80276.56</v>
      </c>
      <c r="EM11" s="24">
        <f t="shared" si="3"/>
        <v>24546.600000000002</v>
      </c>
      <c r="EN11" s="24">
        <f t="shared" si="3"/>
        <v>1773</v>
      </c>
      <c r="EO11" s="24">
        <f t="shared" si="3"/>
        <v>10997270.220000001</v>
      </c>
      <c r="EP11" s="24">
        <f t="shared" si="3"/>
        <v>1263.5999999999999</v>
      </c>
      <c r="EQ11" s="24">
        <f t="shared" si="3"/>
        <v>225246.88</v>
      </c>
      <c r="ER11" s="24">
        <f t="shared" si="3"/>
        <v>502.8</v>
      </c>
      <c r="ES11" s="24">
        <f t="shared" si="3"/>
        <v>27329.8</v>
      </c>
      <c r="ET11" s="24">
        <f t="shared" si="3"/>
        <v>19963.7</v>
      </c>
      <c r="EU11" s="24">
        <f t="shared" si="3"/>
        <v>751.4</v>
      </c>
      <c r="EV11" s="24">
        <f t="shared" si="3"/>
        <v>11880.130000000001</v>
      </c>
      <c r="EW11" s="24">
        <f t="shared" si="3"/>
        <v>19713.62</v>
      </c>
      <c r="EX11" s="24">
        <f t="shared" si="3"/>
        <v>86588.069999999992</v>
      </c>
      <c r="EY11" s="24">
        <f t="shared" si="3"/>
        <v>3201.37</v>
      </c>
      <c r="EZ11" s="24">
        <f t="shared" si="3"/>
        <v>42237.29</v>
      </c>
      <c r="FA11" s="24">
        <f t="shared" si="3"/>
        <v>4424.2</v>
      </c>
      <c r="FB11" s="24">
        <f t="shared" si="3"/>
        <v>3845522.08</v>
      </c>
      <c r="FC11" s="24">
        <f t="shared" si="3"/>
        <v>110445.8</v>
      </c>
      <c r="FD11" s="24">
        <f t="shared" si="3"/>
        <v>619717.03</v>
      </c>
      <c r="FE11" s="24">
        <f t="shared" si="3"/>
        <v>1881.98</v>
      </c>
      <c r="FF11" s="24">
        <f t="shared" si="3"/>
        <v>0</v>
      </c>
      <c r="FG11" s="24">
        <f t="shared" si="3"/>
        <v>47.9</v>
      </c>
      <c r="FH11" s="24">
        <f t="shared" si="3"/>
        <v>77970.899999999994</v>
      </c>
      <c r="FI11" s="24">
        <f t="shared" si="3"/>
        <v>0</v>
      </c>
      <c r="FJ11" s="24">
        <f t="shared" si="3"/>
        <v>697.4</v>
      </c>
      <c r="FK11" s="24">
        <f t="shared" si="3"/>
        <v>143.1</v>
      </c>
      <c r="FL11" s="24">
        <f t="shared" si="3"/>
        <v>406065.99</v>
      </c>
      <c r="FM11" s="24">
        <f t="shared" si="3"/>
        <v>181550.48</v>
      </c>
      <c r="FN11" s="24">
        <f t="shared" si="3"/>
        <v>114095.12000000001</v>
      </c>
      <c r="FO11" s="24">
        <f t="shared" si="3"/>
        <v>232.8</v>
      </c>
      <c r="FP11" s="24">
        <f t="shared" si="3"/>
        <v>2035</v>
      </c>
      <c r="FQ11" s="24">
        <f t="shared" si="3"/>
        <v>653.79999999999995</v>
      </c>
      <c r="FR11" s="24">
        <f t="shared" si="3"/>
        <v>950790.44000000006</v>
      </c>
      <c r="FS11" s="24">
        <f t="shared" si="3"/>
        <v>4763704.93</v>
      </c>
      <c r="FT11" s="24">
        <f t="shared" si="3"/>
        <v>4307983.6999999993</v>
      </c>
      <c r="FU11" s="24">
        <f t="shared" si="3"/>
        <v>1885145.82</v>
      </c>
      <c r="FV11" s="24">
        <f t="shared" si="3"/>
        <v>2468263.38</v>
      </c>
      <c r="FW11" s="24">
        <f t="shared" si="3"/>
        <v>54059.33</v>
      </c>
      <c r="FX11" s="24">
        <f t="shared" si="3"/>
        <v>19996.5</v>
      </c>
      <c r="FY11" s="24">
        <f t="shared" si="3"/>
        <v>108461.07</v>
      </c>
      <c r="FZ11" s="24">
        <f t="shared" si="3"/>
        <v>0</v>
      </c>
      <c r="GA11" s="24">
        <f t="shared" si="3"/>
        <v>580.6</v>
      </c>
      <c r="GB11" s="24">
        <f t="shared" si="3"/>
        <v>120142.8</v>
      </c>
      <c r="GC11" s="24">
        <f t="shared" si="3"/>
        <v>20</v>
      </c>
      <c r="GD11" s="24">
        <f t="shared" si="3"/>
        <v>3023.42</v>
      </c>
      <c r="GE11" s="24">
        <f t="shared" si="3"/>
        <v>78088.940000000017</v>
      </c>
    </row>
    <row r="12" spans="1:187" ht="13.5" thickBot="1" x14ac:dyDescent="0.25">
      <c r="A12" s="55" t="s">
        <v>33</v>
      </c>
      <c r="B12" s="56"/>
      <c r="C12" s="56">
        <f>SUM(D13:GE13)</f>
        <v>13782617.859999996</v>
      </c>
      <c r="D12" s="29">
        <v>150</v>
      </c>
      <c r="E12" s="29">
        <v>1146.5999999999999</v>
      </c>
      <c r="F12" s="29"/>
      <c r="G12" s="29">
        <v>10</v>
      </c>
      <c r="H12" s="29"/>
      <c r="I12" s="29">
        <v>100</v>
      </c>
      <c r="J12" s="29">
        <v>760</v>
      </c>
      <c r="K12" s="29">
        <v>13671.5</v>
      </c>
      <c r="L12" s="29"/>
      <c r="M12" s="29"/>
      <c r="N12" s="29">
        <v>400</v>
      </c>
      <c r="O12" s="30">
        <v>65823230.109999999</v>
      </c>
      <c r="P12" s="29">
        <v>3526.5</v>
      </c>
      <c r="Q12" s="29"/>
      <c r="R12" s="29">
        <v>2642</v>
      </c>
      <c r="S12" s="29"/>
      <c r="T12" s="29">
        <v>167826.7</v>
      </c>
      <c r="U12" s="29">
        <v>2655</v>
      </c>
      <c r="V12" s="29">
        <v>19062.5</v>
      </c>
      <c r="W12" s="29"/>
      <c r="X12" s="29">
        <v>50.5</v>
      </c>
      <c r="Y12" s="29">
        <v>6629424.5</v>
      </c>
      <c r="Z12" s="29">
        <v>38960</v>
      </c>
      <c r="AA12" s="29">
        <v>1</v>
      </c>
      <c r="AB12" s="29">
        <v>757439.2</v>
      </c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>
        <v>2098.3000000000002</v>
      </c>
      <c r="AN12" s="29">
        <v>254.2</v>
      </c>
      <c r="AO12" s="29">
        <v>1</v>
      </c>
      <c r="AP12" s="29">
        <v>59.4</v>
      </c>
      <c r="AQ12" s="29"/>
      <c r="AR12" s="29">
        <v>4065270.3</v>
      </c>
      <c r="AS12" s="30">
        <v>19624286.699999999</v>
      </c>
      <c r="AT12" s="29"/>
      <c r="AU12" s="29">
        <v>50</v>
      </c>
      <c r="AV12" s="29"/>
      <c r="AW12" s="29"/>
      <c r="AX12" s="29"/>
      <c r="AY12" s="29">
        <v>113034.5</v>
      </c>
      <c r="AZ12" s="29">
        <v>200</v>
      </c>
      <c r="BA12" s="29">
        <v>400</v>
      </c>
      <c r="BB12" s="29"/>
      <c r="BC12" s="29"/>
      <c r="BD12" s="29">
        <v>24.6</v>
      </c>
      <c r="BE12" s="29">
        <v>52.8</v>
      </c>
      <c r="BF12" s="29">
        <v>540</v>
      </c>
      <c r="BG12" s="29">
        <v>700</v>
      </c>
      <c r="BH12" s="29"/>
      <c r="BI12" s="29">
        <v>39.9</v>
      </c>
      <c r="BJ12" s="29"/>
      <c r="BK12" s="29">
        <v>500</v>
      </c>
      <c r="BL12" s="29">
        <v>1172.3</v>
      </c>
      <c r="BM12" s="29">
        <v>8584.4</v>
      </c>
      <c r="BN12" s="29"/>
      <c r="BO12" s="29"/>
      <c r="BP12" s="29">
        <v>5</v>
      </c>
      <c r="BQ12" s="29">
        <v>1200</v>
      </c>
      <c r="BR12" s="29">
        <v>46.7</v>
      </c>
      <c r="BS12" s="29">
        <v>11700</v>
      </c>
      <c r="BT12" s="29"/>
      <c r="BU12" s="29">
        <v>510</v>
      </c>
      <c r="BV12" s="29">
        <v>836</v>
      </c>
      <c r="BW12" s="29"/>
      <c r="BX12" s="29"/>
      <c r="BY12" s="29"/>
      <c r="BZ12" s="29">
        <v>42186.400000000001</v>
      </c>
      <c r="CA12" s="29"/>
      <c r="CB12" s="29">
        <v>1</v>
      </c>
      <c r="CC12" s="29">
        <v>1011.5</v>
      </c>
      <c r="CD12" s="29">
        <v>3400</v>
      </c>
      <c r="CE12" s="29">
        <v>532.70000000000005</v>
      </c>
      <c r="CF12" s="29">
        <v>20890</v>
      </c>
      <c r="CG12" s="29"/>
      <c r="CH12" s="29"/>
      <c r="CI12" s="29"/>
      <c r="CJ12" s="29">
        <v>1517055.9</v>
      </c>
      <c r="CK12" s="29">
        <v>10</v>
      </c>
      <c r="CL12" s="29">
        <v>19204.400000000001</v>
      </c>
      <c r="CM12" s="29">
        <v>2404835.2000000002</v>
      </c>
      <c r="CN12" s="29">
        <v>1004</v>
      </c>
      <c r="CO12" s="29">
        <v>3986.1</v>
      </c>
      <c r="CP12" s="29"/>
      <c r="CQ12" s="29"/>
      <c r="CR12" s="29"/>
      <c r="CS12" s="29">
        <v>147.69999999999999</v>
      </c>
      <c r="CT12" s="29">
        <v>6</v>
      </c>
      <c r="CU12" s="29"/>
      <c r="CV12" s="29">
        <v>376.4</v>
      </c>
      <c r="CW12" s="29"/>
      <c r="CX12" s="29"/>
      <c r="CY12" s="29">
        <v>210.5</v>
      </c>
      <c r="CZ12" s="29">
        <v>57291.199999999997</v>
      </c>
      <c r="DA12" s="29"/>
      <c r="DB12" s="29"/>
      <c r="DC12" s="29">
        <v>10</v>
      </c>
      <c r="DD12" s="29">
        <v>2314.8000000000002</v>
      </c>
      <c r="DE12" s="29">
        <f>2314.8+1</f>
        <v>2315.8000000000002</v>
      </c>
      <c r="DF12" s="29">
        <v>21880</v>
      </c>
      <c r="DG12" s="29"/>
      <c r="DH12" s="29">
        <v>5000</v>
      </c>
      <c r="DI12" s="29">
        <v>37669.800000000003</v>
      </c>
      <c r="DJ12" s="29"/>
      <c r="DK12" s="29">
        <v>79.3</v>
      </c>
      <c r="DL12" s="29">
        <v>1783.5</v>
      </c>
      <c r="DM12" s="29">
        <v>0.3</v>
      </c>
      <c r="DN12" s="29">
        <v>116</v>
      </c>
      <c r="DO12" s="29">
        <v>50</v>
      </c>
      <c r="DP12" s="29">
        <v>64.7</v>
      </c>
      <c r="DQ12" s="29">
        <v>1677.5</v>
      </c>
      <c r="DR12" s="29">
        <v>139428.1</v>
      </c>
      <c r="DS12" s="29"/>
      <c r="DT12" s="29"/>
      <c r="DU12" s="29"/>
      <c r="DV12" s="29">
        <v>2194.8000000000002</v>
      </c>
      <c r="DW12" s="29"/>
      <c r="DX12" s="29"/>
      <c r="DY12" s="29">
        <v>43.3</v>
      </c>
      <c r="DZ12" s="29">
        <v>12434.4</v>
      </c>
      <c r="EA12" s="29">
        <v>1089.8</v>
      </c>
      <c r="EB12" s="29">
        <v>2000</v>
      </c>
      <c r="EC12" s="29">
        <v>1371</v>
      </c>
      <c r="ED12" s="29">
        <f>2173.1</f>
        <v>2173.1</v>
      </c>
      <c r="EE12" s="29">
        <v>159</v>
      </c>
      <c r="EF12" s="29"/>
      <c r="EG12" s="29">
        <v>456.2</v>
      </c>
      <c r="EH12" s="29"/>
      <c r="EI12" s="29">
        <v>655.4</v>
      </c>
      <c r="EJ12" s="29">
        <v>2000</v>
      </c>
      <c r="EK12" s="29"/>
      <c r="EL12" s="29">
        <v>250</v>
      </c>
      <c r="EM12" s="29">
        <v>831.9</v>
      </c>
      <c r="EN12" s="29">
        <v>217.9</v>
      </c>
      <c r="EO12" s="29">
        <v>10547037.4</v>
      </c>
      <c r="EP12" s="29">
        <v>1088</v>
      </c>
      <c r="EQ12" s="29">
        <v>170000</v>
      </c>
      <c r="ER12" s="29">
        <v>80.400000000000006</v>
      </c>
      <c r="ES12" s="29"/>
      <c r="ET12" s="29">
        <v>900</v>
      </c>
      <c r="EU12" s="29">
        <v>216.6</v>
      </c>
      <c r="EV12" s="29">
        <v>9255.7000000000007</v>
      </c>
      <c r="EW12" s="29"/>
      <c r="EX12" s="29">
        <v>58222</v>
      </c>
      <c r="EY12" s="29"/>
      <c r="EZ12" s="29">
        <v>32130.1</v>
      </c>
      <c r="FA12" s="29">
        <v>4279.2</v>
      </c>
      <c r="FB12" s="29">
        <v>755610.3</v>
      </c>
      <c r="FC12" s="29">
        <v>1240.3</v>
      </c>
      <c r="FD12" s="29">
        <v>4500</v>
      </c>
      <c r="FE12" s="29">
        <v>10</v>
      </c>
      <c r="FF12" s="29"/>
      <c r="FG12" s="29"/>
      <c r="FH12" s="29"/>
      <c r="FI12" s="29"/>
      <c r="FJ12" s="29">
        <v>170</v>
      </c>
      <c r="FK12" s="29"/>
      <c r="FL12" s="29"/>
      <c r="FM12" s="29"/>
      <c r="FN12" s="29"/>
      <c r="FO12" s="29">
        <v>165.8</v>
      </c>
      <c r="FP12" s="29">
        <v>2035</v>
      </c>
      <c r="FQ12" s="29">
        <v>455.8</v>
      </c>
      <c r="FR12" s="29">
        <v>809.7</v>
      </c>
      <c r="FS12" s="29">
        <v>4710000</v>
      </c>
      <c r="FT12" s="29">
        <v>4286730.8</v>
      </c>
      <c r="FU12" s="29">
        <v>1747683.7</v>
      </c>
      <c r="FV12" s="29">
        <v>2290857.7999999998</v>
      </c>
      <c r="FW12" s="29">
        <v>33633.1</v>
      </c>
      <c r="FX12" s="29">
        <v>2000</v>
      </c>
      <c r="FY12" s="29">
        <v>20564.400000000001</v>
      </c>
      <c r="FZ12" s="29"/>
      <c r="GA12" s="29">
        <v>580.6</v>
      </c>
      <c r="GB12" s="29">
        <v>78864.800000000003</v>
      </c>
      <c r="GC12" s="29">
        <v>20</v>
      </c>
      <c r="GD12" s="29">
        <v>1805.7</v>
      </c>
      <c r="GE12" s="29">
        <v>1556.8</v>
      </c>
    </row>
    <row r="13" spans="1:187" ht="13.5" thickBot="1" x14ac:dyDescent="0.25">
      <c r="A13" s="55" t="s">
        <v>34</v>
      </c>
      <c r="B13" s="56"/>
      <c r="C13" s="56">
        <f>SUM(D14:GE14)</f>
        <v>384868217.49999994</v>
      </c>
      <c r="D13" s="29"/>
      <c r="E13" s="29"/>
      <c r="F13" s="29"/>
      <c r="G13" s="29"/>
      <c r="H13" s="29">
        <v>362.29</v>
      </c>
      <c r="I13" s="29"/>
      <c r="J13" s="29">
        <v>334.98</v>
      </c>
      <c r="K13" s="29">
        <v>4258.2</v>
      </c>
      <c r="L13" s="29">
        <v>1852.3</v>
      </c>
      <c r="M13" s="29">
        <v>18336.669999999998</v>
      </c>
      <c r="N13" s="29">
        <v>12851.7</v>
      </c>
      <c r="O13" s="29">
        <f>735637.9+7636970.7</f>
        <v>8372608.6000000006</v>
      </c>
      <c r="P13" s="29">
        <v>80.680000000000007</v>
      </c>
      <c r="Q13" s="29"/>
      <c r="R13" s="29">
        <v>100.4</v>
      </c>
      <c r="S13" s="29"/>
      <c r="T13" s="29">
        <v>12359.98</v>
      </c>
      <c r="U13" s="29">
        <v>678.76</v>
      </c>
      <c r="V13" s="29">
        <v>729689</v>
      </c>
      <c r="W13" s="29"/>
      <c r="X13" s="29"/>
      <c r="Y13" s="29">
        <v>117289.9</v>
      </c>
      <c r="Z13" s="29"/>
      <c r="AA13" s="29"/>
      <c r="AB13" s="29">
        <v>74099.7</v>
      </c>
      <c r="AC13" s="29"/>
      <c r="AD13" s="29"/>
      <c r="AE13" s="29">
        <v>3717.76</v>
      </c>
      <c r="AF13" s="29"/>
      <c r="AG13" s="29">
        <v>124668.82</v>
      </c>
      <c r="AH13" s="29"/>
      <c r="AI13" s="29"/>
      <c r="AJ13" s="29"/>
      <c r="AK13" s="29"/>
      <c r="AL13" s="29"/>
      <c r="AM13" s="29"/>
      <c r="AN13" s="29">
        <f>10529.02+1404.48</f>
        <v>11933.5</v>
      </c>
      <c r="AO13" s="29"/>
      <c r="AP13" s="29"/>
      <c r="AQ13" s="29">
        <v>80.17</v>
      </c>
      <c r="AR13" s="29">
        <v>371027.4</v>
      </c>
      <c r="AS13" s="29">
        <v>74334.880000000005</v>
      </c>
      <c r="AT13" s="29"/>
      <c r="AU13" s="29"/>
      <c r="AV13" s="29">
        <v>111842.64</v>
      </c>
      <c r="AW13" s="29"/>
      <c r="AX13" s="29">
        <v>460765.24</v>
      </c>
      <c r="AY13" s="29"/>
      <c r="AZ13" s="29">
        <v>3198.18</v>
      </c>
      <c r="BA13" s="29"/>
      <c r="BB13" s="29"/>
      <c r="BC13" s="29"/>
      <c r="BD13" s="29"/>
      <c r="BE13" s="29"/>
      <c r="BF13" s="29">
        <v>884.46</v>
      </c>
      <c r="BG13" s="29"/>
      <c r="BH13" s="29"/>
      <c r="BI13" s="29"/>
      <c r="BJ13" s="29"/>
      <c r="BK13" s="29"/>
      <c r="BL13" s="29">
        <v>14499.9</v>
      </c>
      <c r="BM13" s="29"/>
      <c r="BN13" s="29"/>
      <c r="BO13" s="29">
        <v>378.2</v>
      </c>
      <c r="BP13" s="29"/>
      <c r="BQ13" s="29"/>
      <c r="BR13" s="29"/>
      <c r="BS13" s="29">
        <v>7457.2</v>
      </c>
      <c r="BT13" s="29"/>
      <c r="BU13" s="29"/>
      <c r="BV13" s="29"/>
      <c r="BW13" s="29">
        <v>1125.21</v>
      </c>
      <c r="BX13" s="29"/>
      <c r="BY13" s="29"/>
      <c r="BZ13" s="29">
        <v>244.12</v>
      </c>
      <c r="CA13" s="29">
        <v>928</v>
      </c>
      <c r="CB13" s="29"/>
      <c r="CC13" s="29"/>
      <c r="CD13" s="29"/>
      <c r="CE13" s="29">
        <v>6246.86</v>
      </c>
      <c r="CF13" s="29">
        <v>4090.06</v>
      </c>
      <c r="CG13" s="29">
        <v>76.2</v>
      </c>
      <c r="CH13" s="29"/>
      <c r="CI13" s="29">
        <v>53840.2</v>
      </c>
      <c r="CJ13" s="29">
        <v>700546.5</v>
      </c>
      <c r="CK13" s="29"/>
      <c r="CL13" s="29">
        <v>146.5</v>
      </c>
      <c r="CM13" s="29">
        <v>400851.1</v>
      </c>
      <c r="CN13" s="29"/>
      <c r="CO13" s="29">
        <v>2583.6999999999998</v>
      </c>
      <c r="CP13" s="29">
        <v>61038.6</v>
      </c>
      <c r="CQ13" s="29"/>
      <c r="CR13" s="29"/>
      <c r="CS13" s="29"/>
      <c r="CT13" s="29"/>
      <c r="CU13" s="29"/>
      <c r="CV13" s="29"/>
      <c r="CW13" s="29"/>
      <c r="CX13" s="29">
        <v>485.65</v>
      </c>
      <c r="CY13" s="29"/>
      <c r="CZ13" s="29"/>
      <c r="DA13" s="29"/>
      <c r="DB13" s="29">
        <v>2072.16</v>
      </c>
      <c r="DC13" s="29"/>
      <c r="DD13" s="29"/>
      <c r="DE13" s="29"/>
      <c r="DF13" s="29">
        <v>5419.62</v>
      </c>
      <c r="DG13" s="29"/>
      <c r="DH13" s="29"/>
      <c r="DI13" s="29">
        <v>6027.12</v>
      </c>
      <c r="DJ13" s="29"/>
      <c r="DK13" s="29"/>
      <c r="DL13" s="29"/>
      <c r="DM13" s="29"/>
      <c r="DN13" s="29"/>
      <c r="DO13" s="29"/>
      <c r="DP13" s="29"/>
      <c r="DQ13" s="29">
        <v>15389.55</v>
      </c>
      <c r="DR13" s="29">
        <v>55594.6</v>
      </c>
      <c r="DS13" s="29"/>
      <c r="DT13" s="29"/>
      <c r="DU13" s="29"/>
      <c r="DV13" s="29"/>
      <c r="DW13" s="29"/>
      <c r="DX13" s="29"/>
      <c r="DY13" s="29"/>
      <c r="DZ13" s="29"/>
      <c r="EA13" s="29"/>
      <c r="EB13" s="29">
        <v>16500</v>
      </c>
      <c r="EC13" s="29"/>
      <c r="ED13" s="29"/>
      <c r="EE13" s="29"/>
      <c r="EF13" s="29"/>
      <c r="EG13" s="29"/>
      <c r="EH13" s="29">
        <v>552.25</v>
      </c>
      <c r="EI13" s="29"/>
      <c r="EJ13" s="29"/>
      <c r="EK13" s="29"/>
      <c r="EL13" s="29">
        <v>9204.86</v>
      </c>
      <c r="EM13" s="29"/>
      <c r="EN13" s="29"/>
      <c r="EO13" s="29">
        <v>283549.62</v>
      </c>
      <c r="EP13" s="29"/>
      <c r="EQ13" s="29">
        <v>55246.879999999997</v>
      </c>
      <c r="ER13" s="29"/>
      <c r="ES13" s="29">
        <v>13874.1</v>
      </c>
      <c r="ET13" s="29"/>
      <c r="EU13" s="29"/>
      <c r="EV13" s="29">
        <v>1954.93</v>
      </c>
      <c r="EW13" s="29">
        <v>2426.3200000000002</v>
      </c>
      <c r="EX13" s="29">
        <v>20023.669999999998</v>
      </c>
      <c r="EY13" s="29">
        <v>2894.17</v>
      </c>
      <c r="EZ13" s="29">
        <v>5707.19</v>
      </c>
      <c r="FA13" s="29"/>
      <c r="FB13" s="29">
        <v>87682.48</v>
      </c>
      <c r="FC13" s="29"/>
      <c r="FD13" s="29">
        <v>614727.93000000005</v>
      </c>
      <c r="FE13" s="29">
        <v>1385.18</v>
      </c>
      <c r="FF13" s="29"/>
      <c r="FG13" s="29"/>
      <c r="FH13" s="29"/>
      <c r="FI13" s="29"/>
      <c r="FJ13" s="29"/>
      <c r="FK13" s="29"/>
      <c r="FL13" s="29">
        <v>10088.290000000001</v>
      </c>
      <c r="FM13" s="29">
        <v>44644.480000000003</v>
      </c>
      <c r="FN13" s="29">
        <v>102128.28</v>
      </c>
      <c r="FO13" s="29"/>
      <c r="FP13" s="29"/>
      <c r="FQ13" s="29"/>
      <c r="FR13" s="29">
        <v>266092.94</v>
      </c>
      <c r="FS13" s="29">
        <v>50104.93</v>
      </c>
      <c r="FT13" s="29"/>
      <c r="FU13" s="29">
        <v>110600.52</v>
      </c>
      <c r="FV13" s="29">
        <v>174018.48</v>
      </c>
      <c r="FW13" s="29">
        <v>14992.73</v>
      </c>
      <c r="FX13" s="29"/>
      <c r="FY13" s="29">
        <v>29670.97</v>
      </c>
      <c r="FZ13" s="29"/>
      <c r="GA13" s="29"/>
      <c r="GB13" s="29">
        <v>6702.1</v>
      </c>
      <c r="GC13" s="29"/>
      <c r="GD13" s="29">
        <v>1171.72</v>
      </c>
      <c r="GE13" s="29">
        <v>10275.58</v>
      </c>
    </row>
    <row r="14" spans="1:187" ht="13.5" thickBot="1" x14ac:dyDescent="0.25">
      <c r="A14" s="55" t="s">
        <v>35</v>
      </c>
      <c r="B14" s="56"/>
      <c r="C14" s="56">
        <f>SUM(D15:GE15)</f>
        <v>1772206.0000000005</v>
      </c>
      <c r="D14" s="29"/>
      <c r="E14" s="29">
        <v>14245.8</v>
      </c>
      <c r="F14" s="29">
        <v>25000</v>
      </c>
      <c r="G14" s="29"/>
      <c r="H14" s="29"/>
      <c r="I14" s="29"/>
      <c r="J14" s="29"/>
      <c r="K14" s="29"/>
      <c r="L14" s="29">
        <v>21102.5</v>
      </c>
      <c r="M14" s="29"/>
      <c r="N14" s="29"/>
      <c r="O14" s="30">
        <v>372044015.60000002</v>
      </c>
      <c r="P14" s="29"/>
      <c r="Q14" s="29"/>
      <c r="R14" s="29"/>
      <c r="S14" s="29"/>
      <c r="T14" s="29"/>
      <c r="U14" s="29"/>
      <c r="V14" s="29"/>
      <c r="W14" s="29">
        <v>8184.2</v>
      </c>
      <c r="X14" s="29"/>
      <c r="Y14" s="29">
        <v>200000</v>
      </c>
      <c r="Z14" s="29"/>
      <c r="AA14" s="29"/>
      <c r="AB14" s="29"/>
      <c r="AC14" s="29"/>
      <c r="AD14" s="29">
        <v>1171.8</v>
      </c>
      <c r="AE14" s="29">
        <v>111752.6</v>
      </c>
      <c r="AF14" s="29"/>
      <c r="AG14" s="29"/>
      <c r="AH14" s="29"/>
      <c r="AI14" s="29"/>
      <c r="AJ14" s="29"/>
      <c r="AK14" s="29">
        <v>5412.8</v>
      </c>
      <c r="AL14" s="29"/>
      <c r="AM14" s="29"/>
      <c r="AN14" s="29"/>
      <c r="AO14" s="29"/>
      <c r="AP14" s="29">
        <v>8498.7000000000007</v>
      </c>
      <c r="AQ14" s="29">
        <v>13034.9</v>
      </c>
      <c r="AR14" s="29"/>
      <c r="AS14" s="30">
        <v>2546486.2000000002</v>
      </c>
      <c r="AT14" s="29">
        <v>35000</v>
      </c>
      <c r="AU14" s="29"/>
      <c r="AV14" s="29">
        <v>5515.2</v>
      </c>
      <c r="AW14" s="29">
        <v>28300</v>
      </c>
      <c r="AX14" s="29">
        <v>564816.69999999995</v>
      </c>
      <c r="AY14" s="29"/>
      <c r="AZ14" s="29">
        <v>22189</v>
      </c>
      <c r="BA14" s="29">
        <v>20495.7</v>
      </c>
      <c r="BB14" s="29">
        <v>42329.5</v>
      </c>
      <c r="BC14" s="29">
        <v>31870.9</v>
      </c>
      <c r="BD14" s="29"/>
      <c r="BE14" s="29">
        <v>2278.8000000000002</v>
      </c>
      <c r="BF14" s="29"/>
      <c r="BG14" s="29">
        <v>60000</v>
      </c>
      <c r="BH14" s="29">
        <v>9673.9</v>
      </c>
      <c r="BI14" s="29">
        <v>5936</v>
      </c>
      <c r="BJ14" s="29"/>
      <c r="BK14" s="29">
        <v>24585.7</v>
      </c>
      <c r="BL14" s="29">
        <v>165200</v>
      </c>
      <c r="BM14" s="29"/>
      <c r="BN14" s="29">
        <v>23613.3</v>
      </c>
      <c r="BO14" s="29"/>
      <c r="BP14" s="29">
        <v>14950</v>
      </c>
      <c r="BQ14" s="29">
        <v>127480.8</v>
      </c>
      <c r="BR14" s="29"/>
      <c r="BS14" s="29"/>
      <c r="BT14" s="29">
        <v>7197.2</v>
      </c>
      <c r="BU14" s="29"/>
      <c r="BV14" s="29"/>
      <c r="BW14" s="29"/>
      <c r="BX14" s="29">
        <v>96248</v>
      </c>
      <c r="BY14" s="29"/>
      <c r="BZ14" s="29"/>
      <c r="CA14" s="29"/>
      <c r="CB14" s="29"/>
      <c r="CC14" s="29"/>
      <c r="CD14" s="29"/>
      <c r="CE14" s="29"/>
      <c r="CF14" s="29"/>
      <c r="CG14" s="29">
        <v>12518.1</v>
      </c>
      <c r="CH14" s="29"/>
      <c r="CI14" s="29">
        <v>320919.40000000002</v>
      </c>
      <c r="CJ14" s="29">
        <v>1560232.8</v>
      </c>
      <c r="CK14" s="29"/>
      <c r="CL14" s="29">
        <v>4025.3</v>
      </c>
      <c r="CM14" s="29">
        <v>0.2</v>
      </c>
      <c r="CN14" s="29">
        <v>500</v>
      </c>
      <c r="CO14" s="29">
        <v>73321.2</v>
      </c>
      <c r="CP14" s="29">
        <v>1208762.2</v>
      </c>
      <c r="CQ14" s="29"/>
      <c r="CR14" s="29"/>
      <c r="CS14" s="29"/>
      <c r="CT14" s="29"/>
      <c r="CU14" s="29"/>
      <c r="CV14" s="29"/>
      <c r="CW14" s="29"/>
      <c r="CX14" s="29"/>
      <c r="CY14" s="29"/>
      <c r="CZ14" s="29">
        <v>624231</v>
      </c>
      <c r="DA14" s="29"/>
      <c r="DB14" s="29"/>
      <c r="DC14" s="29"/>
      <c r="DD14" s="29"/>
      <c r="DE14" s="29"/>
      <c r="DF14" s="29">
        <v>304909.90000000002</v>
      </c>
      <c r="DG14" s="29"/>
      <c r="DH14" s="29"/>
      <c r="DI14" s="29"/>
      <c r="DJ14" s="29">
        <v>9500</v>
      </c>
      <c r="DK14" s="29"/>
      <c r="DL14" s="29">
        <v>90362.5</v>
      </c>
      <c r="DM14" s="29"/>
      <c r="DN14" s="29">
        <v>12045.9</v>
      </c>
      <c r="DO14" s="29"/>
      <c r="DP14" s="29">
        <v>12462.7</v>
      </c>
      <c r="DQ14" s="29"/>
      <c r="DR14" s="29"/>
      <c r="DS14" s="29"/>
      <c r="DT14" s="29"/>
      <c r="DU14" s="29"/>
      <c r="DV14" s="29"/>
      <c r="DW14" s="29"/>
      <c r="DX14" s="29">
        <v>25479.5</v>
      </c>
      <c r="DY14" s="29">
        <v>1869.8</v>
      </c>
      <c r="DZ14" s="29">
        <v>83444</v>
      </c>
      <c r="EA14" s="29">
        <v>73579.3</v>
      </c>
      <c r="EB14" s="29">
        <v>2390.9</v>
      </c>
      <c r="EC14" s="29">
        <v>315492.5</v>
      </c>
      <c r="ED14" s="29"/>
      <c r="EE14" s="29"/>
      <c r="EF14" s="29"/>
      <c r="EG14" s="29"/>
      <c r="EH14" s="29"/>
      <c r="EI14" s="29"/>
      <c r="EJ14" s="29"/>
      <c r="EK14" s="29"/>
      <c r="EL14" s="29">
        <v>70500</v>
      </c>
      <c r="EM14" s="29">
        <v>21420</v>
      </c>
      <c r="EN14" s="29">
        <v>1555.1</v>
      </c>
      <c r="EO14" s="29"/>
      <c r="EP14" s="29"/>
      <c r="EQ14" s="29"/>
      <c r="ER14" s="29"/>
      <c r="ES14" s="29">
        <v>13035.6</v>
      </c>
      <c r="ET14" s="29">
        <v>18590</v>
      </c>
      <c r="EU14" s="29"/>
      <c r="EV14" s="29"/>
      <c r="EW14" s="29">
        <v>17161.3</v>
      </c>
      <c r="EX14" s="29"/>
      <c r="EY14" s="29"/>
      <c r="EZ14" s="29"/>
      <c r="FA14" s="29"/>
      <c r="FB14" s="29">
        <v>2989428.7</v>
      </c>
      <c r="FC14" s="29">
        <v>109205.5</v>
      </c>
      <c r="FD14" s="29"/>
      <c r="FE14" s="29"/>
      <c r="FF14" s="29"/>
      <c r="FG14" s="29"/>
      <c r="FH14" s="29">
        <v>77012.5</v>
      </c>
      <c r="FI14" s="29"/>
      <c r="FJ14" s="29"/>
      <c r="FK14" s="29"/>
      <c r="FL14" s="29">
        <v>390706.2</v>
      </c>
      <c r="FM14" s="29">
        <v>119969.60000000001</v>
      </c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>
        <v>17000</v>
      </c>
      <c r="FY14" s="29"/>
      <c r="FZ14" s="29"/>
      <c r="GA14" s="29"/>
      <c r="GB14" s="29"/>
      <c r="GC14" s="29"/>
      <c r="GD14" s="29"/>
      <c r="GE14" s="29"/>
    </row>
    <row r="15" spans="1:187" ht="26.25" thickBot="1" x14ac:dyDescent="0.25">
      <c r="A15" s="55" t="s">
        <v>36</v>
      </c>
      <c r="B15" s="56"/>
      <c r="C15" s="56">
        <f>SUM(D16:GE16)</f>
        <v>1405315.5799999998</v>
      </c>
      <c r="D15" s="29"/>
      <c r="E15" s="29"/>
      <c r="F15" s="29"/>
      <c r="G15" s="29"/>
      <c r="H15" s="29"/>
      <c r="I15" s="29">
        <v>100</v>
      </c>
      <c r="J15" s="29"/>
      <c r="K15" s="29">
        <v>1145.2</v>
      </c>
      <c r="L15" s="29">
        <v>300</v>
      </c>
      <c r="M15" s="29">
        <v>540</v>
      </c>
      <c r="N15" s="29"/>
      <c r="O15" s="30">
        <v>1233299.2</v>
      </c>
      <c r="P15" s="29"/>
      <c r="Q15" s="29"/>
      <c r="R15" s="29">
        <v>1534.8</v>
      </c>
      <c r="S15" s="29"/>
      <c r="T15" s="29"/>
      <c r="U15" s="29"/>
      <c r="V15" s="29">
        <f>59282.2+4306+4306</f>
        <v>67894.2</v>
      </c>
      <c r="W15" s="29"/>
      <c r="X15" s="29">
        <v>0.3</v>
      </c>
      <c r="Y15" s="29">
        <v>4220</v>
      </c>
      <c r="Z15" s="29"/>
      <c r="AA15" s="29"/>
      <c r="AB15" s="29"/>
      <c r="AC15" s="29"/>
      <c r="AD15" s="29"/>
      <c r="AE15" s="29"/>
      <c r="AF15" s="29"/>
      <c r="AG15" s="29">
        <v>39292.5</v>
      </c>
      <c r="AH15" s="29"/>
      <c r="AI15" s="29"/>
      <c r="AJ15" s="29"/>
      <c r="AK15" s="29"/>
      <c r="AL15" s="29"/>
      <c r="AM15" s="29">
        <v>259.10000000000002</v>
      </c>
      <c r="AN15" s="29"/>
      <c r="AO15" s="29">
        <v>669</v>
      </c>
      <c r="AP15" s="29">
        <v>595.20000000000005</v>
      </c>
      <c r="AQ15" s="29"/>
      <c r="AR15" s="29"/>
      <c r="AS15" s="29"/>
      <c r="AT15" s="29"/>
      <c r="AU15" s="29"/>
      <c r="AV15" s="29"/>
      <c r="AW15" s="29">
        <v>9346</v>
      </c>
      <c r="AX15" s="29">
        <v>2349</v>
      </c>
      <c r="AY15" s="29"/>
      <c r="AZ15" s="29"/>
      <c r="BA15" s="29"/>
      <c r="BB15" s="29"/>
      <c r="BC15" s="29">
        <v>417.8</v>
      </c>
      <c r="BD15" s="29"/>
      <c r="BE15" s="29"/>
      <c r="BF15" s="29">
        <v>47.2</v>
      </c>
      <c r="BG15" s="29">
        <f>1038+588.3+316.2</f>
        <v>1942.5</v>
      </c>
      <c r="BH15" s="29"/>
      <c r="BI15" s="29"/>
      <c r="BJ15" s="29"/>
      <c r="BK15" s="29">
        <v>271.3</v>
      </c>
      <c r="BL15" s="29">
        <v>450.5</v>
      </c>
      <c r="BM15" s="29"/>
      <c r="BN15" s="29"/>
      <c r="BO15" s="29"/>
      <c r="BP15" s="29">
        <v>240</v>
      </c>
      <c r="BQ15" s="29"/>
      <c r="BR15" s="29"/>
      <c r="BS15" s="29"/>
      <c r="BT15" s="29"/>
      <c r="BU15" s="29"/>
      <c r="BV15" s="29">
        <v>55</v>
      </c>
      <c r="BW15" s="29"/>
      <c r="BX15" s="29"/>
      <c r="BY15" s="29"/>
      <c r="BZ15" s="29">
        <f>307.4+1192.6</f>
        <v>1500</v>
      </c>
      <c r="CA15" s="29"/>
      <c r="CB15" s="29"/>
      <c r="CC15" s="29">
        <v>1614.7</v>
      </c>
      <c r="CD15" s="29">
        <v>180</v>
      </c>
      <c r="CE15" s="29">
        <v>3070.7</v>
      </c>
      <c r="CF15" s="29">
        <v>6090.7</v>
      </c>
      <c r="CG15" s="29">
        <f>6698.4+5211.8</f>
        <v>11910.2</v>
      </c>
      <c r="CH15" s="29">
        <v>1594</v>
      </c>
      <c r="CI15" s="29"/>
      <c r="CJ15" s="29">
        <v>1718.7</v>
      </c>
      <c r="CK15" s="29"/>
      <c r="CL15" s="29"/>
      <c r="CM15" s="29">
        <f>5012.1+5446.6</f>
        <v>10458.700000000001</v>
      </c>
      <c r="CN15" s="29">
        <v>347</v>
      </c>
      <c r="CO15" s="29">
        <v>2225.6999999999998</v>
      </c>
      <c r="CP15" s="29">
        <v>606</v>
      </c>
      <c r="CQ15" s="29"/>
      <c r="CR15" s="29"/>
      <c r="CS15" s="29"/>
      <c r="CT15" s="29">
        <v>480</v>
      </c>
      <c r="CU15" s="29"/>
      <c r="CV15" s="29">
        <v>136.5</v>
      </c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>
        <v>1000</v>
      </c>
      <c r="DI15" s="29"/>
      <c r="DJ15" s="29">
        <v>54</v>
      </c>
      <c r="DK15" s="29"/>
      <c r="DL15" s="29"/>
      <c r="DM15" s="29">
        <v>342</v>
      </c>
      <c r="DN15" s="29">
        <v>13.5</v>
      </c>
      <c r="DO15" s="29">
        <v>49.1</v>
      </c>
      <c r="DP15" s="29"/>
      <c r="DQ15" s="29"/>
      <c r="DR15" s="29">
        <v>31.2</v>
      </c>
      <c r="DS15" s="29">
        <v>462.5</v>
      </c>
      <c r="DT15" s="29"/>
      <c r="DU15" s="29">
        <f>350.8+3480</f>
        <v>3830.8</v>
      </c>
      <c r="DV15" s="29"/>
      <c r="DW15" s="29"/>
      <c r="DX15" s="29">
        <v>372.7</v>
      </c>
      <c r="DY15" s="29"/>
      <c r="DZ15" s="29"/>
      <c r="EA15" s="29"/>
      <c r="EB15" s="29"/>
      <c r="EC15" s="29"/>
      <c r="ED15" s="29"/>
      <c r="EE15" s="29">
        <v>120</v>
      </c>
      <c r="EF15" s="29"/>
      <c r="EG15" s="29">
        <v>535.6</v>
      </c>
      <c r="EH15" s="29"/>
      <c r="EI15" s="29">
        <v>420</v>
      </c>
      <c r="EJ15" s="29"/>
      <c r="EK15" s="29"/>
      <c r="EL15" s="29"/>
      <c r="EM15" s="29">
        <v>1966.7</v>
      </c>
      <c r="EN15" s="29"/>
      <c r="EO15" s="29">
        <v>163533.29999999999</v>
      </c>
      <c r="EP15" s="29">
        <v>49.6</v>
      </c>
      <c r="EQ15" s="29"/>
      <c r="ER15" s="29">
        <v>238.4</v>
      </c>
      <c r="ES15" s="29"/>
      <c r="ET15" s="29"/>
      <c r="EU15" s="29">
        <v>148.1</v>
      </c>
      <c r="EV15" s="29"/>
      <c r="EW15" s="29"/>
      <c r="EX15" s="29">
        <f>4308.7+2240+1411.3</f>
        <v>7960</v>
      </c>
      <c r="EY15" s="29"/>
      <c r="EZ15" s="29">
        <v>4400</v>
      </c>
      <c r="FA15" s="29"/>
      <c r="FB15" s="29">
        <v>10372.299999999999</v>
      </c>
      <c r="FC15" s="29"/>
      <c r="FD15" s="29">
        <v>450</v>
      </c>
      <c r="FE15" s="29">
        <v>38.799999999999997</v>
      </c>
      <c r="FF15" s="29"/>
      <c r="FG15" s="29"/>
      <c r="FH15" s="29"/>
      <c r="FI15" s="29"/>
      <c r="FJ15" s="29"/>
      <c r="FK15" s="29">
        <v>26.1</v>
      </c>
      <c r="FL15" s="29"/>
      <c r="FM15" s="29">
        <v>16776.400000000001</v>
      </c>
      <c r="FN15" s="29">
        <f>3174.8+1000</f>
        <v>4174.8</v>
      </c>
      <c r="FO15" s="29">
        <v>12</v>
      </c>
      <c r="FP15" s="29"/>
      <c r="FQ15" s="29"/>
      <c r="FR15" s="29">
        <v>5170.3</v>
      </c>
      <c r="FS15" s="29">
        <v>500</v>
      </c>
      <c r="FT15" s="29">
        <v>20711.599999999999</v>
      </c>
      <c r="FU15" s="29">
        <v>24365.8</v>
      </c>
      <c r="FV15" s="29">
        <v>3000</v>
      </c>
      <c r="FW15" s="29">
        <v>2462.3000000000002</v>
      </c>
      <c r="FX15" s="29">
        <v>500</v>
      </c>
      <c r="FY15" s="29">
        <v>57282.8</v>
      </c>
      <c r="FZ15" s="29"/>
      <c r="GA15" s="29"/>
      <c r="GB15" s="29">
        <v>33933.599999999999</v>
      </c>
      <c r="GC15" s="29"/>
      <c r="GD15" s="29"/>
      <c r="GE15" s="29"/>
    </row>
    <row r="16" spans="1:187" ht="13.5" thickBot="1" x14ac:dyDescent="0.25">
      <c r="A16" s="55" t="s">
        <v>37</v>
      </c>
      <c r="B16" s="56"/>
      <c r="C16" s="56">
        <f>SUM(D17:GE17)</f>
        <v>107825.12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2">
        <f>571295.6+4653.5</f>
        <v>575949.1</v>
      </c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>
        <v>5779.55</v>
      </c>
      <c r="AW16" s="31"/>
      <c r="AX16" s="31">
        <v>405.39</v>
      </c>
      <c r="AY16" s="31"/>
      <c r="AZ16" s="31">
        <v>3301.34</v>
      </c>
      <c r="BA16" s="31"/>
      <c r="BB16" s="31"/>
      <c r="BC16" s="31"/>
      <c r="BD16" s="31"/>
      <c r="BE16" s="31"/>
      <c r="BF16" s="31">
        <v>1739.94</v>
      </c>
      <c r="BG16" s="31"/>
      <c r="BH16" s="31"/>
      <c r="BI16" s="31"/>
      <c r="BJ16" s="31"/>
      <c r="BK16" s="31"/>
      <c r="BL16" s="31">
        <v>9649.48</v>
      </c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>
        <v>110145.2</v>
      </c>
      <c r="CK16" s="31"/>
      <c r="CL16" s="31"/>
      <c r="CM16" s="31"/>
      <c r="CN16" s="31"/>
      <c r="CO16" s="31"/>
      <c r="CP16" s="31">
        <v>10358.99</v>
      </c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>
        <v>2320.94</v>
      </c>
      <c r="FO16" s="31"/>
      <c r="FP16" s="31"/>
      <c r="FQ16" s="31"/>
      <c r="FR16" s="31">
        <v>627176.37</v>
      </c>
      <c r="FS16" s="31"/>
      <c r="FT16" s="31"/>
      <c r="FU16" s="31">
        <v>180.95</v>
      </c>
      <c r="FV16" s="31"/>
      <c r="FW16" s="31"/>
      <c r="FX16" s="31"/>
      <c r="FY16" s="31"/>
      <c r="FZ16" s="31"/>
      <c r="GA16" s="31"/>
      <c r="GB16" s="31"/>
      <c r="GC16" s="31"/>
      <c r="GD16" s="31"/>
      <c r="GE16" s="31">
        <v>58308.33</v>
      </c>
    </row>
    <row r="17" spans="1:187" ht="13.5" thickBot="1" x14ac:dyDescent="0.25">
      <c r="A17" s="55" t="s">
        <v>38</v>
      </c>
      <c r="B17" s="56"/>
      <c r="C17" s="56">
        <f>SUM(D18:GE18)</f>
        <v>181675.20000000004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2">
        <v>47088.4</v>
      </c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>
        <v>125.9</v>
      </c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>
        <v>367.43</v>
      </c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>
        <v>6602.88</v>
      </c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>
        <v>49378.13</v>
      </c>
      <c r="FS17" s="31"/>
      <c r="FT17" s="31"/>
      <c r="FU17" s="31">
        <v>22.25</v>
      </c>
      <c r="FV17" s="31"/>
      <c r="FW17" s="31"/>
      <c r="FX17" s="31"/>
      <c r="FY17" s="31"/>
      <c r="FZ17" s="31"/>
      <c r="GA17" s="31"/>
      <c r="GB17" s="31"/>
      <c r="GC17" s="31"/>
      <c r="GD17" s="31"/>
      <c r="GE17" s="31">
        <v>4240.13</v>
      </c>
    </row>
    <row r="18" spans="1:187" ht="13.5" thickBot="1" x14ac:dyDescent="0.25">
      <c r="A18" s="55" t="s">
        <v>39</v>
      </c>
      <c r="B18" s="57"/>
      <c r="C18" s="56">
        <f>SUM(D19:GE19)</f>
        <v>0</v>
      </c>
      <c r="D18" s="29"/>
      <c r="E18" s="29"/>
      <c r="F18" s="29">
        <v>41</v>
      </c>
      <c r="G18" s="29">
        <v>8</v>
      </c>
      <c r="H18" s="29"/>
      <c r="I18" s="29">
        <v>194.5</v>
      </c>
      <c r="J18" s="29">
        <v>1121.9000000000001</v>
      </c>
      <c r="K18" s="29">
        <v>809.5</v>
      </c>
      <c r="L18" s="29">
        <f>33.1+416.5</f>
        <v>449.6</v>
      </c>
      <c r="M18" s="29">
        <v>86.4</v>
      </c>
      <c r="N18" s="29">
        <v>424</v>
      </c>
      <c r="O18" s="30">
        <v>24959.8</v>
      </c>
      <c r="P18" s="29"/>
      <c r="Q18" s="29"/>
      <c r="R18" s="29"/>
      <c r="S18" s="29">
        <v>235</v>
      </c>
      <c r="T18" s="29">
        <v>287.8</v>
      </c>
      <c r="U18" s="29">
        <v>45</v>
      </c>
      <c r="V18" s="29">
        <f>8412.3+3705.2+220</f>
        <v>12337.5</v>
      </c>
      <c r="W18" s="29"/>
      <c r="X18" s="29">
        <v>22.5</v>
      </c>
      <c r="Y18" s="29">
        <v>16279.8</v>
      </c>
      <c r="Z18" s="29"/>
      <c r="AA18" s="29">
        <v>50.4</v>
      </c>
      <c r="AB18" s="29">
        <v>1965.5</v>
      </c>
      <c r="AC18" s="29">
        <f>2.2+28.2</f>
        <v>30.4</v>
      </c>
      <c r="AD18" s="29"/>
      <c r="AE18" s="29">
        <f>138.3+456.9</f>
        <v>595.20000000000005</v>
      </c>
      <c r="AF18" s="29"/>
      <c r="AG18" s="29">
        <v>5707.8</v>
      </c>
      <c r="AH18" s="29"/>
      <c r="AI18" s="29">
        <v>425.9</v>
      </c>
      <c r="AJ18" s="29"/>
      <c r="AK18" s="29">
        <f>44+204</f>
        <v>248</v>
      </c>
      <c r="AL18" s="29">
        <v>44.5</v>
      </c>
      <c r="AM18" s="29"/>
      <c r="AN18" s="29">
        <v>563.6</v>
      </c>
      <c r="AO18" s="29">
        <v>298.89999999999998</v>
      </c>
      <c r="AP18" s="29">
        <v>84.6</v>
      </c>
      <c r="AQ18" s="29">
        <f>100+50.8</f>
        <v>150.80000000000001</v>
      </c>
      <c r="AR18" s="29">
        <f>126.5+12949.9</f>
        <v>13076.4</v>
      </c>
      <c r="AS18" s="29">
        <f>25+3917.3</f>
        <v>3942.3</v>
      </c>
      <c r="AT18" s="29">
        <f>178.5+260.8</f>
        <v>439.3</v>
      </c>
      <c r="AU18" s="29"/>
      <c r="AV18" s="29">
        <v>495.1</v>
      </c>
      <c r="AW18" s="29">
        <v>2000</v>
      </c>
      <c r="AX18" s="29">
        <v>9659.7999999999993</v>
      </c>
      <c r="AY18" s="29">
        <v>1134</v>
      </c>
      <c r="AZ18" s="29">
        <v>270</v>
      </c>
      <c r="BA18" s="29"/>
      <c r="BB18" s="29">
        <v>435.6</v>
      </c>
      <c r="BC18" s="29">
        <f>952.6+171.5</f>
        <v>1124.0999999999999</v>
      </c>
      <c r="BD18" s="29"/>
      <c r="BE18" s="29"/>
      <c r="BF18" s="29">
        <v>93</v>
      </c>
      <c r="BG18" s="29">
        <v>2358.8000000000002</v>
      </c>
      <c r="BH18" s="29">
        <v>838.7</v>
      </c>
      <c r="BI18" s="29">
        <v>240</v>
      </c>
      <c r="BJ18" s="29"/>
      <c r="BK18" s="29">
        <v>185</v>
      </c>
      <c r="BL18" s="29">
        <v>2593.4</v>
      </c>
      <c r="BM18" s="29">
        <v>672.9</v>
      </c>
      <c r="BN18" s="29"/>
      <c r="BO18" s="29">
        <v>121.5</v>
      </c>
      <c r="BP18" s="29">
        <v>404.2</v>
      </c>
      <c r="BQ18" s="29">
        <v>91.5</v>
      </c>
      <c r="BR18" s="29"/>
      <c r="BS18" s="29">
        <f>946+54</f>
        <v>1000</v>
      </c>
      <c r="BT18" s="29"/>
      <c r="BU18" s="29">
        <v>134</v>
      </c>
      <c r="BV18" s="29">
        <v>67.099999999999994</v>
      </c>
      <c r="BW18" s="29">
        <v>135</v>
      </c>
      <c r="BX18" s="29">
        <v>221.1</v>
      </c>
      <c r="BY18" s="29"/>
      <c r="BZ18" s="29">
        <v>1415.7</v>
      </c>
      <c r="CA18" s="29">
        <f>252.3+140.4</f>
        <v>392.70000000000005</v>
      </c>
      <c r="CB18" s="29">
        <v>188.3</v>
      </c>
      <c r="CC18" s="29">
        <v>698.9</v>
      </c>
      <c r="CD18" s="29">
        <v>64</v>
      </c>
      <c r="CE18" s="29">
        <v>189</v>
      </c>
      <c r="CF18" s="29">
        <v>652.1</v>
      </c>
      <c r="CG18" s="29">
        <v>1562.6</v>
      </c>
      <c r="CH18" s="29">
        <v>1146</v>
      </c>
      <c r="CI18" s="29">
        <v>6733.8</v>
      </c>
      <c r="CJ18" s="29">
        <f>624.1+488.5</f>
        <v>1112.5999999999999</v>
      </c>
      <c r="CK18" s="29"/>
      <c r="CL18" s="29"/>
      <c r="CM18" s="29">
        <f>800+7121.3</f>
        <v>7921.3</v>
      </c>
      <c r="CN18" s="29">
        <v>35</v>
      </c>
      <c r="CO18" s="29">
        <v>1213.5999999999999</v>
      </c>
      <c r="CP18" s="29"/>
      <c r="CQ18" s="29">
        <v>99</v>
      </c>
      <c r="CR18" s="29"/>
      <c r="CS18" s="29"/>
      <c r="CT18" s="29">
        <v>300</v>
      </c>
      <c r="CU18" s="29"/>
      <c r="CV18" s="29">
        <v>143.4</v>
      </c>
      <c r="CW18" s="29">
        <v>180</v>
      </c>
      <c r="CX18" s="29">
        <v>639</v>
      </c>
      <c r="CY18" s="29">
        <v>50.9</v>
      </c>
      <c r="CZ18" s="29">
        <f>32+586</f>
        <v>618</v>
      </c>
      <c r="DA18" s="29"/>
      <c r="DB18" s="29">
        <v>152.30000000000001</v>
      </c>
      <c r="DC18" s="29"/>
      <c r="DD18" s="29">
        <v>67</v>
      </c>
      <c r="DE18" s="29">
        <v>67</v>
      </c>
      <c r="DF18" s="29">
        <v>374.1</v>
      </c>
      <c r="DG18" s="29"/>
      <c r="DH18" s="29">
        <v>89.7</v>
      </c>
      <c r="DI18" s="29">
        <v>194.5</v>
      </c>
      <c r="DJ18" s="29">
        <v>691.1</v>
      </c>
      <c r="DK18" s="29">
        <v>50.5</v>
      </c>
      <c r="DL18" s="29">
        <v>470.6</v>
      </c>
      <c r="DM18" s="29">
        <v>165.3</v>
      </c>
      <c r="DN18" s="29"/>
      <c r="DO18" s="29">
        <v>2.4</v>
      </c>
      <c r="DP18" s="29">
        <v>105</v>
      </c>
      <c r="DQ18" s="29"/>
      <c r="DR18" s="29">
        <v>1102.4000000000001</v>
      </c>
      <c r="DS18" s="29">
        <v>379.8</v>
      </c>
      <c r="DT18" s="29">
        <v>151.5</v>
      </c>
      <c r="DU18" s="29">
        <f>154.5+456.5</f>
        <v>611</v>
      </c>
      <c r="DV18" s="29">
        <v>140</v>
      </c>
      <c r="DW18" s="29">
        <v>69.099999999999994</v>
      </c>
      <c r="DX18" s="29">
        <v>521</v>
      </c>
      <c r="DY18" s="29"/>
      <c r="DZ18" s="29">
        <v>159</v>
      </c>
      <c r="EA18" s="29">
        <f>68.3+228</f>
        <v>296.3</v>
      </c>
      <c r="EB18" s="29">
        <v>73.099999999999994</v>
      </c>
      <c r="EC18" s="29">
        <v>414.6</v>
      </c>
      <c r="ED18" s="29"/>
      <c r="EE18" s="29"/>
      <c r="EF18" s="29"/>
      <c r="EG18" s="29">
        <v>536</v>
      </c>
      <c r="EH18" s="29"/>
      <c r="EI18" s="29">
        <v>110</v>
      </c>
      <c r="EJ18" s="29">
        <v>92.4</v>
      </c>
      <c r="EK18" s="29"/>
      <c r="EL18" s="29">
        <v>321.7</v>
      </c>
      <c r="EM18" s="29">
        <v>328</v>
      </c>
      <c r="EN18" s="29"/>
      <c r="EO18" s="29">
        <v>3149.9</v>
      </c>
      <c r="EP18" s="29">
        <v>126</v>
      </c>
      <c r="EQ18" s="29"/>
      <c r="ER18" s="29">
        <v>184</v>
      </c>
      <c r="ES18" s="29">
        <f>127.4+292.7</f>
        <v>420.1</v>
      </c>
      <c r="ET18" s="29">
        <v>473.7</v>
      </c>
      <c r="EU18" s="29">
        <v>386.7</v>
      </c>
      <c r="EV18" s="29">
        <v>669.5</v>
      </c>
      <c r="EW18" s="29">
        <v>126</v>
      </c>
      <c r="EX18" s="29">
        <v>382.4</v>
      </c>
      <c r="EY18" s="29">
        <v>307.2</v>
      </c>
      <c r="EZ18" s="29"/>
      <c r="FA18" s="29">
        <v>145</v>
      </c>
      <c r="FB18" s="29">
        <f>2298.3+130</f>
        <v>2428.3000000000002</v>
      </c>
      <c r="FC18" s="29"/>
      <c r="FD18" s="29">
        <v>39.1</v>
      </c>
      <c r="FE18" s="29">
        <v>448</v>
      </c>
      <c r="FF18" s="29"/>
      <c r="FG18" s="29">
        <v>47.9</v>
      </c>
      <c r="FH18" s="29">
        <v>958.4</v>
      </c>
      <c r="FI18" s="29"/>
      <c r="FJ18" s="29">
        <v>527.4</v>
      </c>
      <c r="FK18" s="29">
        <v>117</v>
      </c>
      <c r="FL18" s="29">
        <v>5271.5</v>
      </c>
      <c r="FM18" s="29">
        <v>160</v>
      </c>
      <c r="FN18" s="29">
        <v>5471.1</v>
      </c>
      <c r="FO18" s="29">
        <v>55</v>
      </c>
      <c r="FP18" s="29"/>
      <c r="FQ18" s="29">
        <v>198</v>
      </c>
      <c r="FR18" s="29">
        <v>2163</v>
      </c>
      <c r="FS18" s="29">
        <v>3100</v>
      </c>
      <c r="FT18" s="29">
        <v>541.29999999999995</v>
      </c>
      <c r="FU18" s="29">
        <v>2292.6</v>
      </c>
      <c r="FV18" s="29">
        <v>387.1</v>
      </c>
      <c r="FW18" s="29">
        <v>2971.2</v>
      </c>
      <c r="FX18" s="29">
        <v>496.5</v>
      </c>
      <c r="FY18" s="29">
        <v>942.9</v>
      </c>
      <c r="FZ18" s="29"/>
      <c r="GA18" s="29"/>
      <c r="GB18" s="29">
        <v>642.29999999999995</v>
      </c>
      <c r="GC18" s="29"/>
      <c r="GD18" s="29">
        <v>46</v>
      </c>
      <c r="GE18" s="29">
        <f>3529.1+179</f>
        <v>3708.1</v>
      </c>
    </row>
    <row r="19" spans="1:187" ht="13.5" thickBot="1" x14ac:dyDescent="0.25">
      <c r="A19" s="55" t="s">
        <v>39</v>
      </c>
      <c r="B19" s="56"/>
      <c r="C19" s="56">
        <f>SUM(D20:GE20)</f>
        <v>0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</row>
    <row r="20" spans="1:187" ht="15.75" thickBot="1" x14ac:dyDescent="0.25">
      <c r="A20" s="52" t="s">
        <v>40</v>
      </c>
      <c r="B20" s="53" t="s">
        <v>3</v>
      </c>
      <c r="C20" s="54">
        <f>C22+C23+C25+C26+C27+C28+C29+C30+C31</f>
        <v>14209339.619000001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</row>
    <row r="21" spans="1:187" s="26" customFormat="1" ht="13.5" thickBot="1" x14ac:dyDescent="0.25">
      <c r="A21" s="58" t="s">
        <v>41</v>
      </c>
      <c r="B21" s="57"/>
      <c r="C21" s="56">
        <f>SUM(D22:GE22)</f>
        <v>113247215.09999999</v>
      </c>
      <c r="D21" s="24">
        <f>D22+D23+D24+D25+D26+D27+D28+D29+D30+D31</f>
        <v>5.26</v>
      </c>
      <c r="E21" s="24">
        <f t="shared" ref="E21:BP21" si="4">E22+E23+E24+E25+E26+E27+E28+E29+E30+E31</f>
        <v>10099.64</v>
      </c>
      <c r="F21" s="24">
        <f t="shared" si="4"/>
        <v>14029.089999999998</v>
      </c>
      <c r="G21" s="24">
        <f t="shared" si="4"/>
        <v>0</v>
      </c>
      <c r="H21" s="24">
        <f t="shared" si="4"/>
        <v>66.06</v>
      </c>
      <c r="I21" s="24">
        <f t="shared" si="4"/>
        <v>164</v>
      </c>
      <c r="J21" s="24">
        <f t="shared" si="4"/>
        <v>11567.93</v>
      </c>
      <c r="K21" s="24">
        <f t="shared" si="4"/>
        <v>238.18</v>
      </c>
      <c r="L21" s="24">
        <f t="shared" si="4"/>
        <v>9692.16</v>
      </c>
      <c r="M21" s="24">
        <f t="shared" si="4"/>
        <v>0.57999999999999996</v>
      </c>
      <c r="N21" s="24">
        <f t="shared" si="4"/>
        <v>216.16</v>
      </c>
      <c r="O21" s="25">
        <f t="shared" si="4"/>
        <v>80364977.050000012</v>
      </c>
      <c r="P21" s="24">
        <f t="shared" si="4"/>
        <v>10396.280000000001</v>
      </c>
      <c r="Q21" s="24">
        <f t="shared" si="4"/>
        <v>6042.91</v>
      </c>
      <c r="R21" s="24">
        <f t="shared" si="4"/>
        <v>4365.93</v>
      </c>
      <c r="S21" s="24">
        <f t="shared" si="4"/>
        <v>16083.95</v>
      </c>
      <c r="T21" s="24">
        <f t="shared" si="4"/>
        <v>313.88</v>
      </c>
      <c r="U21" s="24">
        <f t="shared" si="4"/>
        <v>0.04</v>
      </c>
      <c r="V21" s="24">
        <f t="shared" si="4"/>
        <v>336176.17</v>
      </c>
      <c r="W21" s="24">
        <f t="shared" si="4"/>
        <v>11498.4</v>
      </c>
      <c r="X21" s="24">
        <f t="shared" si="4"/>
        <v>0</v>
      </c>
      <c r="Y21" s="24">
        <f t="shared" si="4"/>
        <v>3660930.95</v>
      </c>
      <c r="Z21" s="24">
        <f t="shared" si="4"/>
        <v>4528.5200000000004</v>
      </c>
      <c r="AA21" s="24">
        <f t="shared" si="4"/>
        <v>2221.8000000000002</v>
      </c>
      <c r="AB21" s="24">
        <f t="shared" si="4"/>
        <v>476280.31</v>
      </c>
      <c r="AC21" s="24">
        <f t="shared" si="4"/>
        <v>620.20000000000005</v>
      </c>
      <c r="AD21" s="24">
        <f t="shared" si="4"/>
        <v>1609.63</v>
      </c>
      <c r="AE21" s="24">
        <f t="shared" si="4"/>
        <v>79319.25</v>
      </c>
      <c r="AF21" s="24">
        <f t="shared" si="4"/>
        <v>0</v>
      </c>
      <c r="AG21" s="24">
        <f t="shared" si="4"/>
        <v>910216.32</v>
      </c>
      <c r="AH21" s="24">
        <f t="shared" si="4"/>
        <v>0</v>
      </c>
      <c r="AI21" s="24">
        <f t="shared" si="4"/>
        <v>3554.51</v>
      </c>
      <c r="AJ21" s="24">
        <f t="shared" si="4"/>
        <v>0.15</v>
      </c>
      <c r="AK21" s="24">
        <f t="shared" si="4"/>
        <v>3251.46</v>
      </c>
      <c r="AL21" s="24">
        <f t="shared" si="4"/>
        <v>4024</v>
      </c>
      <c r="AM21" s="24">
        <f t="shared" si="4"/>
        <v>14549.970000000001</v>
      </c>
      <c r="AN21" s="24">
        <f t="shared" si="4"/>
        <v>12817.4</v>
      </c>
      <c r="AO21" s="24">
        <f t="shared" si="4"/>
        <v>12333.800000000001</v>
      </c>
      <c r="AP21" s="24">
        <f t="shared" si="4"/>
        <v>314.2</v>
      </c>
      <c r="AQ21" s="24">
        <f t="shared" si="4"/>
        <v>4887.3500000000004</v>
      </c>
      <c r="AR21" s="24">
        <f t="shared" si="4"/>
        <v>2270607.7800000003</v>
      </c>
      <c r="AS21" s="24">
        <f t="shared" si="4"/>
        <v>7436676.2199999997</v>
      </c>
      <c r="AT21" s="24">
        <f t="shared" si="4"/>
        <v>14304.66</v>
      </c>
      <c r="AU21" s="24">
        <f t="shared" si="4"/>
        <v>5542.41</v>
      </c>
      <c r="AV21" s="24">
        <f t="shared" si="4"/>
        <v>765.5</v>
      </c>
      <c r="AW21" s="24">
        <f t="shared" si="4"/>
        <v>41544.47</v>
      </c>
      <c r="AX21" s="24">
        <f t="shared" si="4"/>
        <v>523779.45</v>
      </c>
      <c r="AY21" s="24">
        <f t="shared" si="4"/>
        <v>500429.69000000012</v>
      </c>
      <c r="AZ21" s="24">
        <f t="shared" si="4"/>
        <v>8191.8899999999994</v>
      </c>
      <c r="BA21" s="24">
        <f t="shared" si="4"/>
        <v>1.4750000000000001</v>
      </c>
      <c r="BB21" s="24">
        <f t="shared" si="4"/>
        <v>4428.6000000000004</v>
      </c>
      <c r="BC21" s="24">
        <f t="shared" si="4"/>
        <v>20103.099999999999</v>
      </c>
      <c r="BD21" s="24">
        <f t="shared" si="4"/>
        <v>58.6</v>
      </c>
      <c r="BE21" s="24">
        <f t="shared" si="4"/>
        <v>3111.38</v>
      </c>
      <c r="BF21" s="24">
        <f t="shared" si="4"/>
        <v>500.19</v>
      </c>
      <c r="BG21" s="24">
        <f t="shared" si="4"/>
        <v>76252.12000000001</v>
      </c>
      <c r="BH21" s="24">
        <f t="shared" si="4"/>
        <v>15073.33</v>
      </c>
      <c r="BI21" s="24">
        <f t="shared" si="4"/>
        <v>767.45999999999992</v>
      </c>
      <c r="BJ21" s="24">
        <f t="shared" si="4"/>
        <v>9003.8599999999988</v>
      </c>
      <c r="BK21" s="24">
        <f t="shared" si="4"/>
        <v>624.33000000000004</v>
      </c>
      <c r="BL21" s="24">
        <f t="shared" si="4"/>
        <v>325707.36000000004</v>
      </c>
      <c r="BM21" s="24">
        <f t="shared" si="4"/>
        <v>11872.88</v>
      </c>
      <c r="BN21" s="24">
        <f t="shared" si="4"/>
        <v>3973.27</v>
      </c>
      <c r="BO21" s="24">
        <f t="shared" si="4"/>
        <v>108.85</v>
      </c>
      <c r="BP21" s="24">
        <f t="shared" si="4"/>
        <v>8693.7000000000007</v>
      </c>
      <c r="BQ21" s="24">
        <f t="shared" ref="BQ21:EB21" si="5">BQ22+BQ23+BQ24+BQ25+BQ26+BQ27+BQ28+BQ29+BQ30+BQ31</f>
        <v>26972.1</v>
      </c>
      <c r="BR21" s="24">
        <f t="shared" si="5"/>
        <v>0</v>
      </c>
      <c r="BS21" s="24">
        <f t="shared" si="5"/>
        <v>10005</v>
      </c>
      <c r="BT21" s="24">
        <f t="shared" si="5"/>
        <v>1595.49</v>
      </c>
      <c r="BU21" s="24">
        <f t="shared" si="5"/>
        <v>4.88</v>
      </c>
      <c r="BV21" s="24">
        <f t="shared" si="5"/>
        <v>12432.759999999998</v>
      </c>
      <c r="BW21" s="24">
        <f t="shared" si="5"/>
        <v>550.28</v>
      </c>
      <c r="BX21" s="24">
        <f t="shared" si="5"/>
        <v>3.97</v>
      </c>
      <c r="BY21" s="24">
        <f t="shared" si="5"/>
        <v>0</v>
      </c>
      <c r="BZ21" s="24">
        <f t="shared" si="5"/>
        <v>0</v>
      </c>
      <c r="CA21" s="24">
        <f t="shared" si="5"/>
        <v>22454.65</v>
      </c>
      <c r="CB21" s="24">
        <f t="shared" si="5"/>
        <v>1889.77</v>
      </c>
      <c r="CC21" s="24">
        <f t="shared" si="5"/>
        <v>3680</v>
      </c>
      <c r="CD21" s="24">
        <f t="shared" si="5"/>
        <v>143.4</v>
      </c>
      <c r="CE21" s="24">
        <f t="shared" si="5"/>
        <v>29730.59</v>
      </c>
      <c r="CF21" s="24">
        <f t="shared" si="5"/>
        <v>15126.71</v>
      </c>
      <c r="CG21" s="24">
        <f t="shared" si="5"/>
        <v>203346.67</v>
      </c>
      <c r="CH21" s="24">
        <f t="shared" si="5"/>
        <v>87202.78</v>
      </c>
      <c r="CI21" s="24">
        <f t="shared" si="5"/>
        <v>155196.33000000002</v>
      </c>
      <c r="CJ21" s="24">
        <f t="shared" si="5"/>
        <v>267989.25</v>
      </c>
      <c r="CK21" s="24">
        <f t="shared" si="5"/>
        <v>203022.21999999997</v>
      </c>
      <c r="CL21" s="24">
        <f t="shared" si="5"/>
        <v>38193.24</v>
      </c>
      <c r="CM21" s="24">
        <f t="shared" si="5"/>
        <v>1849190.61</v>
      </c>
      <c r="CN21" s="24">
        <f t="shared" si="5"/>
        <v>677.55</v>
      </c>
      <c r="CO21" s="24">
        <f t="shared" si="5"/>
        <v>13808.02</v>
      </c>
      <c r="CP21" s="24">
        <f t="shared" si="5"/>
        <v>557799.66999999993</v>
      </c>
      <c r="CQ21" s="24">
        <f t="shared" si="5"/>
        <v>29964.44</v>
      </c>
      <c r="CR21" s="24">
        <f t="shared" si="5"/>
        <v>28648</v>
      </c>
      <c r="CS21" s="24">
        <f t="shared" si="5"/>
        <v>1505.36</v>
      </c>
      <c r="CT21" s="24">
        <f t="shared" si="5"/>
        <v>6347.2</v>
      </c>
      <c r="CU21" s="24">
        <f t="shared" si="5"/>
        <v>1.05</v>
      </c>
      <c r="CV21" s="24">
        <f t="shared" si="5"/>
        <v>419.7</v>
      </c>
      <c r="CW21" s="24">
        <f t="shared" si="5"/>
        <v>1561.83</v>
      </c>
      <c r="CX21" s="24">
        <f t="shared" si="5"/>
        <v>0.88000000000000012</v>
      </c>
      <c r="CY21" s="24">
        <f t="shared" si="5"/>
        <v>536.15</v>
      </c>
      <c r="CZ21" s="24">
        <f t="shared" si="5"/>
        <v>102016.13</v>
      </c>
      <c r="DA21" s="24">
        <f t="shared" si="5"/>
        <v>1957.1</v>
      </c>
      <c r="DB21" s="24">
        <f t="shared" si="5"/>
        <v>10860.66</v>
      </c>
      <c r="DC21" s="24">
        <f t="shared" si="5"/>
        <v>4.3100000000000005</v>
      </c>
      <c r="DD21" s="24">
        <f t="shared" si="5"/>
        <v>14</v>
      </c>
      <c r="DE21" s="24">
        <f t="shared" si="5"/>
        <v>6.43</v>
      </c>
      <c r="DF21" s="24">
        <f t="shared" si="5"/>
        <v>34275.17</v>
      </c>
      <c r="DG21" s="24">
        <f t="shared" si="5"/>
        <v>207.4</v>
      </c>
      <c r="DH21" s="24">
        <f t="shared" si="5"/>
        <v>11175.93</v>
      </c>
      <c r="DI21" s="24">
        <f t="shared" si="5"/>
        <v>39380.83</v>
      </c>
      <c r="DJ21" s="24">
        <f t="shared" si="5"/>
        <v>4355.7</v>
      </c>
      <c r="DK21" s="24">
        <f t="shared" si="5"/>
        <v>62.019999999999996</v>
      </c>
      <c r="DL21" s="24">
        <f t="shared" si="5"/>
        <v>26495.24</v>
      </c>
      <c r="DM21" s="24">
        <f t="shared" si="5"/>
        <v>3783.5</v>
      </c>
      <c r="DN21" s="24">
        <f t="shared" si="5"/>
        <v>3544.1</v>
      </c>
      <c r="DO21" s="24">
        <f t="shared" si="5"/>
        <v>2613.92</v>
      </c>
      <c r="DP21" s="24">
        <f t="shared" si="5"/>
        <v>1.28</v>
      </c>
      <c r="DQ21" s="24">
        <f t="shared" si="5"/>
        <v>12537.14</v>
      </c>
      <c r="DR21" s="24">
        <f t="shared" si="5"/>
        <v>0</v>
      </c>
      <c r="DS21" s="24">
        <f t="shared" si="5"/>
        <v>5668.7099999999991</v>
      </c>
      <c r="DT21" s="24">
        <f t="shared" si="5"/>
        <v>460.65999999999997</v>
      </c>
      <c r="DU21" s="24">
        <f t="shared" si="5"/>
        <v>95647.43</v>
      </c>
      <c r="DV21" s="24">
        <f t="shared" si="5"/>
        <v>4767.6900000000005</v>
      </c>
      <c r="DW21" s="24">
        <f t="shared" si="5"/>
        <v>1435.2</v>
      </c>
      <c r="DX21" s="24">
        <f t="shared" si="5"/>
        <v>11596.970000000001</v>
      </c>
      <c r="DY21" s="24">
        <f t="shared" si="5"/>
        <v>473.78</v>
      </c>
      <c r="DZ21" s="24">
        <f t="shared" si="5"/>
        <v>35159.300000000003</v>
      </c>
      <c r="EA21" s="24">
        <f t="shared" si="5"/>
        <v>36746.29</v>
      </c>
      <c r="EB21" s="24">
        <f t="shared" si="5"/>
        <v>34856.300000000003</v>
      </c>
      <c r="EC21" s="24">
        <f t="shared" ref="EC21:GE21" si="6">EC22+EC23+EC24+EC25+EC26+EC27+EC28+EC29+EC30+EC31</f>
        <v>37787.08</v>
      </c>
      <c r="ED21" s="24">
        <f t="shared" si="6"/>
        <v>1474.54</v>
      </c>
      <c r="EE21" s="24">
        <f t="shared" si="6"/>
        <v>466.25</v>
      </c>
      <c r="EF21" s="24">
        <f t="shared" si="6"/>
        <v>475.65</v>
      </c>
      <c r="EG21" s="24">
        <f t="shared" si="6"/>
        <v>0.19</v>
      </c>
      <c r="EH21" s="24">
        <f t="shared" si="6"/>
        <v>3945.19</v>
      </c>
      <c r="EI21" s="24">
        <f t="shared" si="6"/>
        <v>33298.5</v>
      </c>
      <c r="EJ21" s="24">
        <f t="shared" si="6"/>
        <v>13259.279999999999</v>
      </c>
      <c r="EK21" s="24">
        <f t="shared" si="6"/>
        <v>1.1499999999999999</v>
      </c>
      <c r="EL21" s="24">
        <f t="shared" si="6"/>
        <v>107169.03</v>
      </c>
      <c r="EM21" s="24">
        <f t="shared" si="6"/>
        <v>20836</v>
      </c>
      <c r="EN21" s="24">
        <f t="shared" si="6"/>
        <v>1133.0999999999999</v>
      </c>
      <c r="EO21" s="24">
        <f t="shared" si="6"/>
        <v>7047352.2700000005</v>
      </c>
      <c r="EP21" s="24">
        <f t="shared" si="6"/>
        <v>0</v>
      </c>
      <c r="EQ21" s="24">
        <f t="shared" si="6"/>
        <v>11804.93</v>
      </c>
      <c r="ER21" s="24">
        <f t="shared" si="6"/>
        <v>9626.5</v>
      </c>
      <c r="ES21" s="24">
        <f t="shared" si="6"/>
        <v>7372.2</v>
      </c>
      <c r="ET21" s="24">
        <f t="shared" si="6"/>
        <v>15220.98</v>
      </c>
      <c r="EU21" s="24">
        <f t="shared" si="6"/>
        <v>2143.38</v>
      </c>
      <c r="EV21" s="24">
        <f t="shared" si="6"/>
        <v>33534.26</v>
      </c>
      <c r="EW21" s="24">
        <f t="shared" si="6"/>
        <v>12822.45</v>
      </c>
      <c r="EX21" s="24">
        <f t="shared" si="6"/>
        <v>638756.14</v>
      </c>
      <c r="EY21" s="24">
        <f t="shared" si="6"/>
        <v>12268.64</v>
      </c>
      <c r="EZ21" s="24">
        <f t="shared" si="6"/>
        <v>336485.27999999997</v>
      </c>
      <c r="FA21" s="24">
        <f t="shared" si="6"/>
        <v>22276.400000000001</v>
      </c>
      <c r="FB21" s="24">
        <f t="shared" si="6"/>
        <v>659112.17999999993</v>
      </c>
      <c r="FC21" s="24">
        <f t="shared" si="6"/>
        <v>26009.3</v>
      </c>
      <c r="FD21" s="24">
        <f t="shared" si="6"/>
        <v>340340.01</v>
      </c>
      <c r="FE21" s="24">
        <f t="shared" si="6"/>
        <v>8132.56</v>
      </c>
      <c r="FF21" s="24">
        <f t="shared" si="6"/>
        <v>1869.62</v>
      </c>
      <c r="FG21" s="24">
        <f t="shared" si="6"/>
        <v>1867.1299999999999</v>
      </c>
      <c r="FH21" s="24">
        <f t="shared" si="6"/>
        <v>23191.99</v>
      </c>
      <c r="FI21" s="24">
        <f t="shared" si="6"/>
        <v>1985733.74</v>
      </c>
      <c r="FJ21" s="24">
        <f t="shared" si="6"/>
        <v>15530.2</v>
      </c>
      <c r="FK21" s="24">
        <f t="shared" si="6"/>
        <v>603.48</v>
      </c>
      <c r="FL21" s="24">
        <f t="shared" si="6"/>
        <v>237681.47</v>
      </c>
      <c r="FM21" s="24">
        <f t="shared" si="6"/>
        <v>78729.97</v>
      </c>
      <c r="FN21" s="24">
        <f t="shared" si="6"/>
        <v>33775.82</v>
      </c>
      <c r="FO21" s="24">
        <f t="shared" si="6"/>
        <v>316.88</v>
      </c>
      <c r="FP21" s="24">
        <f t="shared" si="6"/>
        <v>5017.6799999999994</v>
      </c>
      <c r="FQ21" s="24">
        <f t="shared" si="6"/>
        <v>1244.5</v>
      </c>
      <c r="FR21" s="24">
        <f t="shared" si="6"/>
        <v>125937.60000000001</v>
      </c>
      <c r="FS21" s="24">
        <f t="shared" si="6"/>
        <v>7238884.4000000004</v>
      </c>
      <c r="FT21" s="24">
        <f t="shared" si="6"/>
        <v>942321.20000000007</v>
      </c>
      <c r="FU21" s="24">
        <f t="shared" si="6"/>
        <v>976944</v>
      </c>
      <c r="FV21" s="24">
        <f t="shared" si="6"/>
        <v>0</v>
      </c>
      <c r="FW21" s="24">
        <f t="shared" si="6"/>
        <v>67596.399999999994</v>
      </c>
      <c r="FX21" s="24">
        <f t="shared" si="6"/>
        <v>24110.219999999998</v>
      </c>
      <c r="FY21" s="24">
        <f t="shared" si="6"/>
        <v>348276.83999999997</v>
      </c>
      <c r="FZ21" s="24">
        <f t="shared" si="6"/>
        <v>17761.13</v>
      </c>
      <c r="GA21" s="24">
        <f t="shared" si="6"/>
        <v>0</v>
      </c>
      <c r="GB21" s="24">
        <f t="shared" si="6"/>
        <v>18329.18</v>
      </c>
      <c r="GC21" s="24">
        <f t="shared" si="6"/>
        <v>91.74</v>
      </c>
      <c r="GD21" s="24">
        <f t="shared" si="6"/>
        <v>0</v>
      </c>
      <c r="GE21" s="24">
        <f t="shared" si="6"/>
        <v>2250.1</v>
      </c>
    </row>
    <row r="22" spans="1:187" ht="26.25" thickBot="1" x14ac:dyDescent="0.25">
      <c r="A22" s="55" t="s">
        <v>42</v>
      </c>
      <c r="B22" s="56"/>
      <c r="C22" s="56">
        <f>SUM(D23:GE23)</f>
        <v>552749.29</v>
      </c>
      <c r="D22" s="29"/>
      <c r="E22" s="29">
        <v>9144.7999999999993</v>
      </c>
      <c r="F22" s="29"/>
      <c r="G22" s="29"/>
      <c r="H22" s="29"/>
      <c r="I22" s="29"/>
      <c r="J22" s="29">
        <v>3580.1</v>
      </c>
      <c r="K22" s="29"/>
      <c r="L22" s="29">
        <f>2859.3+964.1</f>
        <v>3823.4</v>
      </c>
      <c r="M22" s="29"/>
      <c r="N22" s="29"/>
      <c r="O22" s="30">
        <f>57990467.9+20296415</f>
        <v>78286882.900000006</v>
      </c>
      <c r="P22" s="29">
        <f>8220+1550</f>
        <v>9770</v>
      </c>
      <c r="Q22" s="29"/>
      <c r="R22" s="29"/>
      <c r="S22" s="29">
        <v>988.2</v>
      </c>
      <c r="T22" s="29"/>
      <c r="U22" s="29"/>
      <c r="V22" s="29"/>
      <c r="W22" s="29">
        <v>4650.2</v>
      </c>
      <c r="X22" s="29"/>
      <c r="Y22" s="29">
        <f>2562958.2+7453.5</f>
        <v>2570411.7000000002</v>
      </c>
      <c r="Z22" s="29">
        <v>4527.8</v>
      </c>
      <c r="AA22" s="29">
        <v>2221.8000000000002</v>
      </c>
      <c r="AB22" s="29">
        <v>475271.6</v>
      </c>
      <c r="AC22" s="29">
        <v>146.30000000000001</v>
      </c>
      <c r="AD22" s="29">
        <v>257.2</v>
      </c>
      <c r="AE22" s="29">
        <v>25704.9</v>
      </c>
      <c r="AF22" s="29"/>
      <c r="AG22" s="29">
        <v>902599.6</v>
      </c>
      <c r="AH22" s="29"/>
      <c r="AI22" s="29"/>
      <c r="AJ22" s="29"/>
      <c r="AK22" s="29"/>
      <c r="AL22" s="29"/>
      <c r="AM22" s="29">
        <v>3882.5</v>
      </c>
      <c r="AN22" s="29">
        <v>12817.4</v>
      </c>
      <c r="AO22" s="29">
        <v>11281.2</v>
      </c>
      <c r="AP22" s="29"/>
      <c r="AQ22" s="29">
        <f>720.9+1681.9</f>
        <v>2402.8000000000002</v>
      </c>
      <c r="AR22" s="29">
        <v>2151320</v>
      </c>
      <c r="AS22" s="30">
        <v>7351136.7999999998</v>
      </c>
      <c r="AT22" s="29">
        <v>8284.2000000000007</v>
      </c>
      <c r="AU22" s="29"/>
      <c r="AV22" s="29">
        <v>758.1</v>
      </c>
      <c r="AW22" s="29">
        <f>16382.3+5371.2</f>
        <v>21753.5</v>
      </c>
      <c r="AX22" s="29">
        <v>284172.09999999998</v>
      </c>
      <c r="AY22" s="29">
        <v>750</v>
      </c>
      <c r="AZ22" s="29"/>
      <c r="BA22" s="29"/>
      <c r="BB22" s="29">
        <v>2580.3000000000002</v>
      </c>
      <c r="BC22" s="29">
        <v>9538.7999999999993</v>
      </c>
      <c r="BD22" s="29"/>
      <c r="BE22" s="29">
        <v>2561.3000000000002</v>
      </c>
      <c r="BF22" s="29"/>
      <c r="BG22" s="29">
        <v>48009.9</v>
      </c>
      <c r="BH22" s="29">
        <v>764.4</v>
      </c>
      <c r="BI22" s="29">
        <v>765.9</v>
      </c>
      <c r="BJ22" s="29"/>
      <c r="BK22" s="29"/>
      <c r="BL22" s="29">
        <v>282527.5</v>
      </c>
      <c r="BM22" s="29"/>
      <c r="BN22" s="29">
        <v>3972.7</v>
      </c>
      <c r="BO22" s="29"/>
      <c r="BP22" s="29">
        <v>665.1</v>
      </c>
      <c r="BQ22" s="29">
        <v>16675.599999999999</v>
      </c>
      <c r="BR22" s="29"/>
      <c r="BS22" s="29">
        <v>5956.3</v>
      </c>
      <c r="BT22" s="29">
        <v>1009.9</v>
      </c>
      <c r="BU22" s="29"/>
      <c r="BV22" s="29">
        <v>2012</v>
      </c>
      <c r="BW22" s="29">
        <v>260.60000000000002</v>
      </c>
      <c r="BX22" s="29"/>
      <c r="BY22" s="29"/>
      <c r="BZ22" s="29"/>
      <c r="CA22" s="29"/>
      <c r="CB22" s="29"/>
      <c r="CC22" s="29">
        <v>3080</v>
      </c>
      <c r="CD22" s="29"/>
      <c r="CE22" s="29">
        <v>27200.400000000001</v>
      </c>
      <c r="CF22" s="29"/>
      <c r="CG22" s="29">
        <v>190462.6</v>
      </c>
      <c r="CH22" s="29">
        <v>85685.4</v>
      </c>
      <c r="CI22" s="29">
        <v>71751.8</v>
      </c>
      <c r="CJ22" s="29">
        <f>217517.5+19930.4+2117.9</f>
        <v>239565.8</v>
      </c>
      <c r="CK22" s="29"/>
      <c r="CL22" s="29">
        <v>459.5</v>
      </c>
      <c r="CM22" s="29">
        <f>909562.6+324765.9</f>
        <v>1234328.5</v>
      </c>
      <c r="CN22" s="29"/>
      <c r="CO22" s="29"/>
      <c r="CP22" s="29">
        <v>534816.69999999995</v>
      </c>
      <c r="CQ22" s="29">
        <v>1600</v>
      </c>
      <c r="CR22" s="29">
        <f>13163.2+12100</f>
        <v>25263.200000000001</v>
      </c>
      <c r="CS22" s="29">
        <v>1360.3</v>
      </c>
      <c r="CT22" s="29"/>
      <c r="CU22" s="29"/>
      <c r="CV22" s="29"/>
      <c r="CW22" s="29"/>
      <c r="CX22" s="29"/>
      <c r="CY22" s="29">
        <v>507.5</v>
      </c>
      <c r="CZ22" s="29">
        <f>79892.6+11930.1</f>
        <v>91822.700000000012</v>
      </c>
      <c r="DA22" s="29"/>
      <c r="DB22" s="29">
        <v>10186</v>
      </c>
      <c r="DC22" s="29"/>
      <c r="DD22" s="29"/>
      <c r="DE22" s="29"/>
      <c r="DF22" s="29">
        <v>34265</v>
      </c>
      <c r="DG22" s="29">
        <v>60.6</v>
      </c>
      <c r="DH22" s="29"/>
      <c r="DI22" s="29">
        <v>39380.1</v>
      </c>
      <c r="DJ22" s="29">
        <v>3332.6</v>
      </c>
      <c r="DK22" s="29"/>
      <c r="DL22" s="29">
        <v>10675.7</v>
      </c>
      <c r="DM22" s="29">
        <v>1366.5</v>
      </c>
      <c r="DN22" s="29">
        <f>380+886.6</f>
        <v>1266.5999999999999</v>
      </c>
      <c r="DO22" s="29"/>
      <c r="DP22" s="29"/>
      <c r="DQ22" s="29"/>
      <c r="DR22" s="29"/>
      <c r="DS22" s="29">
        <v>2913.1</v>
      </c>
      <c r="DT22" s="29"/>
      <c r="DU22" s="29"/>
      <c r="DV22" s="29">
        <v>2464.4</v>
      </c>
      <c r="DW22" s="29"/>
      <c r="DX22" s="29">
        <f>1320.5+3835.1</f>
        <v>5155.6000000000004</v>
      </c>
      <c r="DY22" s="29"/>
      <c r="DZ22" s="29">
        <v>20550.2</v>
      </c>
      <c r="EA22" s="29">
        <v>27235.9</v>
      </c>
      <c r="EB22" s="29">
        <v>30297.5</v>
      </c>
      <c r="EC22" s="29">
        <v>37781.5</v>
      </c>
      <c r="ED22" s="29">
        <v>858</v>
      </c>
      <c r="EE22" s="29">
        <v>320</v>
      </c>
      <c r="EF22" s="29"/>
      <c r="EG22" s="29"/>
      <c r="EH22" s="29"/>
      <c r="EI22" s="29">
        <v>4658.3</v>
      </c>
      <c r="EJ22" s="29"/>
      <c r="EK22" s="29"/>
      <c r="EL22" s="29">
        <f>3391.9+12645.9</f>
        <v>16037.8</v>
      </c>
      <c r="EM22" s="29">
        <v>11807.8</v>
      </c>
      <c r="EN22" s="29">
        <v>494.1</v>
      </c>
      <c r="EO22" s="29">
        <f>5265330.9+1589641.8</f>
        <v>6854972.7000000002</v>
      </c>
      <c r="EP22" s="29"/>
      <c r="EQ22" s="29">
        <v>11000</v>
      </c>
      <c r="ER22" s="29">
        <v>4637.8999999999996</v>
      </c>
      <c r="ES22" s="29">
        <v>1677.2</v>
      </c>
      <c r="ET22" s="29">
        <v>2453.6999999999998</v>
      </c>
      <c r="EU22" s="29">
        <v>1959.3</v>
      </c>
      <c r="EV22" s="29">
        <v>31800</v>
      </c>
      <c r="EW22" s="29">
        <v>5598.4</v>
      </c>
      <c r="EX22" s="29">
        <v>304856.40000000002</v>
      </c>
      <c r="EY22" s="29"/>
      <c r="EZ22" s="29">
        <v>301059.3</v>
      </c>
      <c r="FA22" s="29">
        <v>22180.400000000001</v>
      </c>
      <c r="FB22" s="29">
        <f>473926.3+49931.4</f>
        <v>523857.7</v>
      </c>
      <c r="FC22" s="29">
        <f>14381.9+4920.8</f>
        <v>19302.7</v>
      </c>
      <c r="FD22" s="29"/>
      <c r="FE22" s="29"/>
      <c r="FF22" s="29"/>
      <c r="FG22" s="29">
        <v>863.9</v>
      </c>
      <c r="FH22" s="29">
        <v>13028.8</v>
      </c>
      <c r="FI22" s="29"/>
      <c r="FJ22" s="29">
        <v>15509.1</v>
      </c>
      <c r="FK22" s="29"/>
      <c r="FL22" s="29">
        <v>222595.5</v>
      </c>
      <c r="FM22" s="29">
        <f>69646.1+7849.7</f>
        <v>77495.8</v>
      </c>
      <c r="FN22" s="29"/>
      <c r="FO22" s="29">
        <v>293.5</v>
      </c>
      <c r="FP22" s="29"/>
      <c r="FQ22" s="29">
        <v>379.7</v>
      </c>
      <c r="FR22" s="29"/>
      <c r="FS22" s="29">
        <f>5097500+2119800</f>
        <v>7217300</v>
      </c>
      <c r="FT22" s="29">
        <f>643670.8+298650.4</f>
        <v>942321.20000000007</v>
      </c>
      <c r="FU22" s="29">
        <f>587503+372151</f>
        <v>959654</v>
      </c>
      <c r="FV22" s="29"/>
      <c r="FW22" s="29">
        <v>58403.5</v>
      </c>
      <c r="FX22" s="29">
        <v>10027.799999999999</v>
      </c>
      <c r="FY22" s="29">
        <v>340436</v>
      </c>
      <c r="FZ22" s="29"/>
      <c r="GA22" s="29"/>
      <c r="GB22" s="29">
        <v>8699.5</v>
      </c>
      <c r="GC22" s="29"/>
      <c r="GD22" s="29"/>
      <c r="GE22" s="29"/>
    </row>
    <row r="23" spans="1:187" ht="26.25" thickBot="1" x14ac:dyDescent="0.25">
      <c r="A23" s="55" t="s">
        <v>43</v>
      </c>
      <c r="B23" s="56"/>
      <c r="C23" s="56">
        <f>SUM(D24:GE24)</f>
        <v>11943.334999999999</v>
      </c>
      <c r="D23" s="29"/>
      <c r="E23" s="29">
        <v>369.5</v>
      </c>
      <c r="F23" s="29">
        <f>3502.96+10524.98</f>
        <v>14027.939999999999</v>
      </c>
      <c r="G23" s="29"/>
      <c r="H23" s="29"/>
      <c r="I23" s="29">
        <v>164</v>
      </c>
      <c r="J23" s="29">
        <v>0.7</v>
      </c>
      <c r="K23" s="29">
        <f>211.1+27.08</f>
        <v>238.18</v>
      </c>
      <c r="L23" s="29">
        <v>1405.56</v>
      </c>
      <c r="M23" s="29"/>
      <c r="N23" s="29">
        <f>169.71+46.3</f>
        <v>216.01</v>
      </c>
      <c r="O23" s="29"/>
      <c r="P23" s="29"/>
      <c r="Q23" s="29">
        <v>6042.3</v>
      </c>
      <c r="R23" s="29">
        <v>4365.93</v>
      </c>
      <c r="S23" s="29">
        <v>15095.75</v>
      </c>
      <c r="T23" s="29"/>
      <c r="U23" s="29"/>
      <c r="V23" s="29"/>
      <c r="W23" s="29">
        <v>6838.92</v>
      </c>
      <c r="X23" s="29"/>
      <c r="Y23" s="29"/>
      <c r="Z23" s="29"/>
      <c r="AA23" s="29"/>
      <c r="AB23" s="29"/>
      <c r="AC23" s="29">
        <v>425.9</v>
      </c>
      <c r="AD23" s="29">
        <f>720.61+631.82</f>
        <v>1352.43</v>
      </c>
      <c r="AE23" s="29"/>
      <c r="AF23" s="29"/>
      <c r="AG23" s="29"/>
      <c r="AH23" s="29"/>
      <c r="AI23" s="29">
        <f>383.19+2667.9+503.42</f>
        <v>3554.51</v>
      </c>
      <c r="AJ23" s="29"/>
      <c r="AK23" s="29">
        <f>1913.51+147.95</f>
        <v>2061.46</v>
      </c>
      <c r="AL23" s="29">
        <v>416</v>
      </c>
      <c r="AM23" s="29"/>
      <c r="AN23" s="29"/>
      <c r="AO23" s="29"/>
      <c r="AP23" s="29"/>
      <c r="AQ23" s="29"/>
      <c r="AR23" s="29"/>
      <c r="AS23" s="29"/>
      <c r="AT23" s="29">
        <v>3320.46</v>
      </c>
      <c r="AU23" s="29"/>
      <c r="AV23" s="29"/>
      <c r="AW23" s="29">
        <f>6400.96+2825.13</f>
        <v>9226.09</v>
      </c>
      <c r="AX23" s="29"/>
      <c r="AY23" s="29"/>
      <c r="AZ23" s="29">
        <f>756.56+1810.06+0.47</f>
        <v>2567.0899999999997</v>
      </c>
      <c r="BA23" s="29"/>
      <c r="BB23" s="29">
        <v>1848.3</v>
      </c>
      <c r="BC23" s="29">
        <v>7652</v>
      </c>
      <c r="BD23" s="29">
        <v>58.6</v>
      </c>
      <c r="BE23" s="29">
        <v>550.08000000000004</v>
      </c>
      <c r="BF23" s="29"/>
      <c r="BG23" s="29">
        <f>10783.53+17442.58</f>
        <v>28226.11</v>
      </c>
      <c r="BH23" s="29">
        <v>14308.93</v>
      </c>
      <c r="BI23" s="29"/>
      <c r="BJ23" s="29">
        <f>8993.46+10.4</f>
        <v>9003.8599999999988</v>
      </c>
      <c r="BK23" s="29"/>
      <c r="BL23" s="29">
        <f>33533.85+7265.93</f>
        <v>40799.78</v>
      </c>
      <c r="BM23" s="29"/>
      <c r="BN23" s="29"/>
      <c r="BO23" s="29"/>
      <c r="BP23" s="29"/>
      <c r="BQ23" s="29">
        <v>57.35</v>
      </c>
      <c r="BR23" s="29"/>
      <c r="BS23" s="29">
        <v>165.9</v>
      </c>
      <c r="BT23" s="29"/>
      <c r="BU23" s="29"/>
      <c r="BV23" s="29"/>
      <c r="BW23" s="29">
        <v>289.68</v>
      </c>
      <c r="BX23" s="29"/>
      <c r="BY23" s="29"/>
      <c r="BZ23" s="29"/>
      <c r="CA23" s="29"/>
      <c r="CB23" s="29"/>
      <c r="CC23" s="29"/>
      <c r="CD23" s="29">
        <v>143.4</v>
      </c>
      <c r="CE23" s="29">
        <v>1698.19</v>
      </c>
      <c r="CF23" s="29">
        <v>26</v>
      </c>
      <c r="CG23" s="29">
        <f>1916.87+1065.42</f>
        <v>2982.29</v>
      </c>
      <c r="CH23" s="29">
        <v>1502.42</v>
      </c>
      <c r="CI23" s="29">
        <f>21344.96+62050.68</f>
        <v>83395.64</v>
      </c>
      <c r="CJ23" s="29"/>
      <c r="CK23" s="29">
        <v>31386.85</v>
      </c>
      <c r="CL23" s="29"/>
      <c r="CM23" s="29">
        <f>8803.67+41767.16</f>
        <v>50570.83</v>
      </c>
      <c r="CN23" s="29">
        <v>677.55</v>
      </c>
      <c r="CO23" s="29">
        <f>6033+7773.45</f>
        <v>13806.45</v>
      </c>
      <c r="CP23" s="29"/>
      <c r="CQ23" s="29">
        <f>1559.95+1878.69</f>
        <v>3438.6400000000003</v>
      </c>
      <c r="CR23" s="29"/>
      <c r="CS23" s="29">
        <v>145.06</v>
      </c>
      <c r="CT23" s="29">
        <f>6273.9</f>
        <v>6273.9</v>
      </c>
      <c r="CU23" s="29"/>
      <c r="CV23" s="29"/>
      <c r="CW23" s="29">
        <v>1561.83</v>
      </c>
      <c r="CX23" s="29"/>
      <c r="CY23" s="29">
        <v>28.65</v>
      </c>
      <c r="CZ23" s="29">
        <f>1665.2+50+5734.23</f>
        <v>7449.4299999999994</v>
      </c>
      <c r="DA23" s="29">
        <v>1957.1</v>
      </c>
      <c r="DB23" s="29"/>
      <c r="DC23" s="29"/>
      <c r="DD23" s="29">
        <v>14</v>
      </c>
      <c r="DE23" s="29"/>
      <c r="DF23" s="29"/>
      <c r="DG23" s="29">
        <v>146.80000000000001</v>
      </c>
      <c r="DH23" s="29">
        <v>175.93</v>
      </c>
      <c r="DI23" s="29"/>
      <c r="DJ23" s="29">
        <v>1022.3</v>
      </c>
      <c r="DK23" s="29">
        <f>61.98+0.04</f>
        <v>62.019999999999996</v>
      </c>
      <c r="DL23" s="29">
        <v>7981.64</v>
      </c>
      <c r="DM23" s="29">
        <v>2405.9</v>
      </c>
      <c r="DN23" s="29">
        <v>639</v>
      </c>
      <c r="DO23" s="29"/>
      <c r="DP23" s="29"/>
      <c r="DQ23" s="29">
        <f>657.56+3779.72</f>
        <v>4437.28</v>
      </c>
      <c r="DR23" s="29"/>
      <c r="DS23" s="29">
        <v>155.51</v>
      </c>
      <c r="DT23" s="29">
        <f>156.74+131.82</f>
        <v>288.56</v>
      </c>
      <c r="DU23" s="29"/>
      <c r="DV23" s="29">
        <v>1824.36</v>
      </c>
      <c r="DW23" s="29">
        <v>1435.2</v>
      </c>
      <c r="DX23" s="29">
        <v>3634.57</v>
      </c>
      <c r="DY23" s="29">
        <v>473.78</v>
      </c>
      <c r="DZ23" s="29">
        <v>14609.1</v>
      </c>
      <c r="EA23" s="29">
        <f>2511.28+142.55</f>
        <v>2653.8300000000004</v>
      </c>
      <c r="EB23" s="29">
        <f>3942.8+616</f>
        <v>4558.8</v>
      </c>
      <c r="EC23" s="29"/>
      <c r="ED23" s="29"/>
      <c r="EE23" s="29">
        <v>146.25</v>
      </c>
      <c r="EF23" s="29">
        <v>475.65</v>
      </c>
      <c r="EG23" s="29"/>
      <c r="EH23" s="29"/>
      <c r="EI23" s="29"/>
      <c r="EJ23" s="29">
        <v>13253.97</v>
      </c>
      <c r="EK23" s="29"/>
      <c r="EL23" s="29">
        <f>447.05+3064.44</f>
        <v>3511.4900000000002</v>
      </c>
      <c r="EM23" s="29">
        <f>4030.5+4890.1</f>
        <v>8920.6</v>
      </c>
      <c r="EN23" s="29">
        <v>639</v>
      </c>
      <c r="EO23" s="29"/>
      <c r="EP23" s="29"/>
      <c r="EQ23" s="29">
        <f>790+14.93</f>
        <v>804.93</v>
      </c>
      <c r="ER23" s="29">
        <v>1665.6</v>
      </c>
      <c r="ES23" s="29">
        <f>3745.6+844.9</f>
        <v>4590.5</v>
      </c>
      <c r="ET23" s="29">
        <f>3347.5+155.48</f>
        <v>3502.98</v>
      </c>
      <c r="EU23" s="29">
        <f>8.62+175.46</f>
        <v>184.08</v>
      </c>
      <c r="EV23" s="29">
        <v>1734.26</v>
      </c>
      <c r="EW23" s="29">
        <v>7218.94</v>
      </c>
      <c r="EX23" s="29"/>
      <c r="EY23" s="29">
        <v>8780.64</v>
      </c>
      <c r="EZ23" s="29">
        <v>9424.07</v>
      </c>
      <c r="FA23" s="29"/>
      <c r="FB23" s="29"/>
      <c r="FC23" s="29">
        <v>4374.3999999999996</v>
      </c>
      <c r="FD23" s="29"/>
      <c r="FE23" s="29">
        <f>340+248.98</f>
        <v>588.98</v>
      </c>
      <c r="FF23" s="29">
        <v>363.12</v>
      </c>
      <c r="FG23" s="29">
        <v>751.7</v>
      </c>
      <c r="FH23" s="29"/>
      <c r="FI23" s="29"/>
      <c r="FJ23" s="29"/>
      <c r="FK23" s="29">
        <v>603.48</v>
      </c>
      <c r="FL23" s="29">
        <f>5844.15+7670.5</f>
        <v>13514.65</v>
      </c>
      <c r="FM23" s="29">
        <f>1230.3</f>
        <v>1230.3</v>
      </c>
      <c r="FN23" s="29">
        <v>4008.86</v>
      </c>
      <c r="FO23" s="29">
        <v>23.3</v>
      </c>
      <c r="FP23" s="29">
        <v>5008.1499999999996</v>
      </c>
      <c r="FQ23" s="29">
        <f>167.9+696.9</f>
        <v>864.8</v>
      </c>
      <c r="FR23" s="29"/>
      <c r="FS23" s="29"/>
      <c r="FT23" s="29"/>
      <c r="FU23" s="29"/>
      <c r="FV23" s="29"/>
      <c r="FW23" s="29">
        <v>526.70000000000005</v>
      </c>
      <c r="FX23" s="29">
        <v>9543.39</v>
      </c>
      <c r="FY23" s="29">
        <v>521.24</v>
      </c>
      <c r="FZ23" s="29">
        <f>17718.33+42.8</f>
        <v>17761.13</v>
      </c>
      <c r="GA23" s="29"/>
      <c r="GB23" s="29"/>
      <c r="GC23" s="29"/>
      <c r="GD23" s="29"/>
      <c r="GE23" s="29"/>
    </row>
    <row r="24" spans="1:187" ht="13.5" thickBot="1" x14ac:dyDescent="0.25">
      <c r="A24" s="55" t="s">
        <v>44</v>
      </c>
      <c r="B24" s="56"/>
      <c r="C24" s="56">
        <f>SUM(D25:GE25)</f>
        <v>3799310.74</v>
      </c>
      <c r="D24" s="29">
        <v>5.26</v>
      </c>
      <c r="E24" s="29">
        <v>585.34</v>
      </c>
      <c r="F24" s="29">
        <v>1.1499999999999999</v>
      </c>
      <c r="G24" s="29"/>
      <c r="H24" s="29">
        <f>65+1.06</f>
        <v>66.06</v>
      </c>
      <c r="I24" s="29"/>
      <c r="J24" s="29">
        <f>85.6+0.53</f>
        <v>86.13</v>
      </c>
      <c r="K24" s="29"/>
      <c r="L24" s="29">
        <f>0.82+27.08</f>
        <v>27.9</v>
      </c>
      <c r="M24" s="29">
        <v>0.57999999999999996</v>
      </c>
      <c r="N24" s="29">
        <v>0.15</v>
      </c>
      <c r="O24" s="29">
        <f>38.28+302.67</f>
        <v>340.95000000000005</v>
      </c>
      <c r="P24" s="29">
        <v>38.28</v>
      </c>
      <c r="Q24" s="29">
        <v>0.61</v>
      </c>
      <c r="R24" s="29"/>
      <c r="S24" s="29"/>
      <c r="T24" s="29">
        <f>313.67+0.21</f>
        <v>313.88</v>
      </c>
      <c r="U24" s="29">
        <v>0.04</v>
      </c>
      <c r="V24" s="29">
        <f>221.95+1955.35</f>
        <v>2177.2999999999997</v>
      </c>
      <c r="W24" s="29">
        <f>8.55+0.73</f>
        <v>9.2800000000000011</v>
      </c>
      <c r="X24" s="29"/>
      <c r="Y24" s="29">
        <f>152.71+104.74</f>
        <v>257.45</v>
      </c>
      <c r="Z24" s="29">
        <v>0.72</v>
      </c>
      <c r="AA24" s="29"/>
      <c r="AB24" s="29">
        <f>4.53+4.18</f>
        <v>8.7100000000000009</v>
      </c>
      <c r="AC24" s="29"/>
      <c r="AD24" s="29"/>
      <c r="AE24" s="29">
        <v>18.149999999999999</v>
      </c>
      <c r="AF24" s="29"/>
      <c r="AG24" s="29">
        <v>0.72</v>
      </c>
      <c r="AH24" s="29"/>
      <c r="AI24" s="29"/>
      <c r="AJ24" s="29">
        <v>0.15</v>
      </c>
      <c r="AK24" s="29"/>
      <c r="AL24" s="29"/>
      <c r="AM24" s="29">
        <f>0.81+0.49+0.07</f>
        <v>1.37</v>
      </c>
      <c r="AN24" s="29"/>
      <c r="AO24" s="29"/>
      <c r="AP24" s="29"/>
      <c r="AQ24" s="29">
        <v>0.55000000000000004</v>
      </c>
      <c r="AR24" s="29">
        <f>21.09+0.09</f>
        <v>21.18</v>
      </c>
      <c r="AS24" s="29">
        <f>98.45+22.97</f>
        <v>121.42</v>
      </c>
      <c r="AT24" s="29"/>
      <c r="AU24" s="29">
        <f>19.04+4107.57</f>
        <v>4126.6099999999997</v>
      </c>
      <c r="AV24" s="29">
        <v>7.4</v>
      </c>
      <c r="AW24" s="29">
        <v>3.28</v>
      </c>
      <c r="AX24" s="29">
        <f>163.06+32.29</f>
        <v>195.35</v>
      </c>
      <c r="AY24" s="29">
        <f>4.99+1220.6</f>
        <v>1225.5899999999999</v>
      </c>
      <c r="AZ24" s="29"/>
      <c r="BA24" s="29">
        <f>0.675+0.8</f>
        <v>1.4750000000000001</v>
      </c>
      <c r="BB24" s="29"/>
      <c r="BC24" s="29"/>
      <c r="BD24" s="29"/>
      <c r="BE24" s="29"/>
      <c r="BF24" s="29">
        <f>0.12+0.07</f>
        <v>0.19</v>
      </c>
      <c r="BG24" s="29">
        <f>4.52+11.59</f>
        <v>16.11</v>
      </c>
      <c r="BH24" s="29"/>
      <c r="BI24" s="29">
        <v>1.56</v>
      </c>
      <c r="BJ24" s="29"/>
      <c r="BK24" s="29">
        <v>3.83</v>
      </c>
      <c r="BL24" s="29">
        <f>10.08</f>
        <v>10.08</v>
      </c>
      <c r="BM24" s="29">
        <v>0.88</v>
      </c>
      <c r="BN24" s="29">
        <v>0.56999999999999995</v>
      </c>
      <c r="BO24" s="29">
        <f>0.67+0.18</f>
        <v>0.85000000000000009</v>
      </c>
      <c r="BP24" s="29"/>
      <c r="BQ24" s="29">
        <f>4.11+0.14</f>
        <v>4.25</v>
      </c>
      <c r="BR24" s="29"/>
      <c r="BS24" s="29"/>
      <c r="BT24" s="29">
        <f>490.64+94.95</f>
        <v>585.59</v>
      </c>
      <c r="BU24" s="29">
        <f>0.75+4.13</f>
        <v>4.88</v>
      </c>
      <c r="BV24" s="29">
        <f>28.01+0.85</f>
        <v>28.860000000000003</v>
      </c>
      <c r="BW24" s="29"/>
      <c r="BX24" s="29">
        <v>3.97</v>
      </c>
      <c r="BY24" s="29"/>
      <c r="BZ24" s="29"/>
      <c r="CA24" s="29">
        <f>2.16+26.69</f>
        <v>28.85</v>
      </c>
      <c r="CB24" s="29">
        <v>1.77</v>
      </c>
      <c r="CC24" s="29"/>
      <c r="CD24" s="29"/>
      <c r="CE24" s="29"/>
      <c r="CF24" s="29">
        <v>0.71</v>
      </c>
      <c r="CG24" s="29">
        <f>8.39+1.59</f>
        <v>9.98</v>
      </c>
      <c r="CH24" s="29">
        <v>14.96</v>
      </c>
      <c r="CI24" s="29">
        <v>48.89</v>
      </c>
      <c r="CJ24" s="29">
        <f>93.25+74.2</f>
        <v>167.45</v>
      </c>
      <c r="CK24" s="29">
        <v>44.07</v>
      </c>
      <c r="CL24" s="29">
        <v>6.34</v>
      </c>
      <c r="CM24" s="29">
        <f>35.04+86.64</f>
        <v>121.68</v>
      </c>
      <c r="CN24" s="29"/>
      <c r="CO24" s="29">
        <v>1.57</v>
      </c>
      <c r="CP24" s="29">
        <v>22.97</v>
      </c>
      <c r="CQ24" s="29"/>
      <c r="CR24" s="29">
        <f>0.45+0.15</f>
        <v>0.6</v>
      </c>
      <c r="CS24" s="29"/>
      <c r="CT24" s="29">
        <f>0.28+73.02</f>
        <v>73.3</v>
      </c>
      <c r="CU24" s="29">
        <v>1.05</v>
      </c>
      <c r="CV24" s="29"/>
      <c r="CW24" s="29"/>
      <c r="CX24" s="29">
        <f>0.07+0.81</f>
        <v>0.88000000000000012</v>
      </c>
      <c r="CY24" s="29"/>
      <c r="CZ24" s="29"/>
      <c r="DA24" s="29"/>
      <c r="DB24" s="29">
        <v>0.66</v>
      </c>
      <c r="DC24" s="29">
        <f>2.11+2.2</f>
        <v>4.3100000000000005</v>
      </c>
      <c r="DD24" s="29"/>
      <c r="DE24" s="29">
        <f>4.14+2.29</f>
        <v>6.43</v>
      </c>
      <c r="DF24" s="29">
        <v>10.17</v>
      </c>
      <c r="DG24" s="29"/>
      <c r="DH24" s="29"/>
      <c r="DI24" s="29">
        <v>0.73</v>
      </c>
      <c r="DJ24" s="29">
        <f>0.6+0.2</f>
        <v>0.8</v>
      </c>
      <c r="DK24" s="29"/>
      <c r="DL24" s="29"/>
      <c r="DM24" s="29">
        <v>11.1</v>
      </c>
      <c r="DN24" s="29"/>
      <c r="DO24" s="29">
        <v>3.92</v>
      </c>
      <c r="DP24" s="29">
        <v>1.28</v>
      </c>
      <c r="DQ24" s="29">
        <v>4.29</v>
      </c>
      <c r="DR24" s="29"/>
      <c r="DS24" s="29"/>
      <c r="DT24" s="29"/>
      <c r="DU24" s="29">
        <v>5.63</v>
      </c>
      <c r="DV24" s="29">
        <v>3.93</v>
      </c>
      <c r="DW24" s="29"/>
      <c r="DX24" s="29"/>
      <c r="DY24" s="29"/>
      <c r="DZ24" s="29"/>
      <c r="EA24" s="29">
        <v>5.46</v>
      </c>
      <c r="EB24" s="29"/>
      <c r="EC24" s="29">
        <v>5.58</v>
      </c>
      <c r="ED24" s="29">
        <v>0.54</v>
      </c>
      <c r="EE24" s="29"/>
      <c r="EF24" s="29"/>
      <c r="EG24" s="29">
        <v>0.19</v>
      </c>
      <c r="EH24" s="29">
        <v>0.19</v>
      </c>
      <c r="EI24" s="29"/>
      <c r="EJ24" s="29">
        <v>5.31</v>
      </c>
      <c r="EK24" s="29">
        <v>1.1499999999999999</v>
      </c>
      <c r="EL24" s="29">
        <v>4.1399999999999997</v>
      </c>
      <c r="EM24" s="29"/>
      <c r="EN24" s="29"/>
      <c r="EO24" s="29">
        <v>0.56999999999999995</v>
      </c>
      <c r="EP24" s="29"/>
      <c r="EQ24" s="29"/>
      <c r="ER24" s="29"/>
      <c r="ES24" s="29"/>
      <c r="ET24" s="29"/>
      <c r="EU24" s="29"/>
      <c r="EV24" s="29"/>
      <c r="EW24" s="29">
        <v>5.1100000000000003</v>
      </c>
      <c r="EX24" s="29">
        <f>14.94+5.1</f>
        <v>20.04</v>
      </c>
      <c r="EY24" s="29"/>
      <c r="EZ24" s="29">
        <v>1.91</v>
      </c>
      <c r="FA24" s="29"/>
      <c r="FB24" s="29">
        <v>11.28</v>
      </c>
      <c r="FC24" s="29"/>
      <c r="FD24" s="29">
        <f>23.33+0.08</f>
        <v>23.409999999999997</v>
      </c>
      <c r="FE24" s="29">
        <v>0.08</v>
      </c>
      <c r="FF24" s="29"/>
      <c r="FG24" s="29">
        <v>1.53</v>
      </c>
      <c r="FH24" s="29">
        <f>5.89+34.4</f>
        <v>40.29</v>
      </c>
      <c r="FI24" s="29">
        <f>8.24+6.5</f>
        <v>14.74</v>
      </c>
      <c r="FJ24" s="29">
        <f>1.16+19.94</f>
        <v>21.1</v>
      </c>
      <c r="FK24" s="29"/>
      <c r="FL24" s="29">
        <v>6.92</v>
      </c>
      <c r="FM24" s="29">
        <v>3.87</v>
      </c>
      <c r="FN24" s="29">
        <v>1.49</v>
      </c>
      <c r="FO24" s="29">
        <v>0.08</v>
      </c>
      <c r="FP24" s="29">
        <f>5.13+4.4</f>
        <v>9.5300000000000011</v>
      </c>
      <c r="FQ24" s="29"/>
      <c r="FR24" s="29"/>
      <c r="FS24" s="29"/>
      <c r="FT24" s="29"/>
      <c r="FU24" s="29"/>
      <c r="FV24" s="29"/>
      <c r="FW24" s="29"/>
      <c r="FX24" s="29">
        <v>3.03</v>
      </c>
      <c r="FY24" s="29"/>
      <c r="FZ24" s="29"/>
      <c r="GA24" s="29"/>
      <c r="GB24" s="29">
        <v>761.08</v>
      </c>
      <c r="GC24" s="29">
        <v>91.74</v>
      </c>
      <c r="GD24" s="29"/>
      <c r="GE24" s="29"/>
    </row>
    <row r="25" spans="1:187" ht="15" customHeight="1" thickBot="1" x14ac:dyDescent="0.25">
      <c r="A25" s="58" t="s">
        <v>45</v>
      </c>
      <c r="B25" s="57"/>
      <c r="C25" s="56">
        <f>SUM(D26:GE26)</f>
        <v>454626.19999999995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>
        <v>10666.1</v>
      </c>
      <c r="AN25" s="29"/>
      <c r="AO25" s="29"/>
      <c r="AP25" s="29"/>
      <c r="AQ25" s="29"/>
      <c r="AR25" s="29"/>
      <c r="AS25" s="29"/>
      <c r="AT25" s="29"/>
      <c r="AU25" s="29">
        <v>1415.8</v>
      </c>
      <c r="AV25" s="29"/>
      <c r="AW25" s="29">
        <v>1605.7</v>
      </c>
      <c r="AX25" s="29"/>
      <c r="AY25" s="29">
        <f>105154.2+74859+135047.1+135439.9+8462.5+12752.9</f>
        <v>471715.60000000009</v>
      </c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>
        <v>8028.6</v>
      </c>
      <c r="BQ25" s="29"/>
      <c r="BR25" s="29"/>
      <c r="BS25" s="29">
        <v>3340.4</v>
      </c>
      <c r="BT25" s="29"/>
      <c r="BU25" s="29"/>
      <c r="BV25" s="29">
        <v>6071.9</v>
      </c>
      <c r="BW25" s="29"/>
      <c r="BX25" s="29"/>
      <c r="BY25" s="29"/>
      <c r="BZ25" s="29"/>
      <c r="CA25" s="29">
        <v>14404.2</v>
      </c>
      <c r="CB25" s="29"/>
      <c r="CC25" s="29"/>
      <c r="CD25" s="29"/>
      <c r="CE25" s="29"/>
      <c r="CF25" s="29"/>
      <c r="CG25" s="29">
        <v>6468.8</v>
      </c>
      <c r="CH25" s="29"/>
      <c r="CI25" s="29"/>
      <c r="CJ25" s="29"/>
      <c r="CK25" s="29">
        <v>171591.3</v>
      </c>
      <c r="CL25" s="29">
        <v>37727.4</v>
      </c>
      <c r="CM25" s="29">
        <f>96564.3+43472.1+402145.8</f>
        <v>542182.19999999995</v>
      </c>
      <c r="CN25" s="29"/>
      <c r="CO25" s="29"/>
      <c r="CP25" s="29"/>
      <c r="CQ25" s="29">
        <v>24925.8</v>
      </c>
      <c r="CR25" s="29">
        <v>3384.2</v>
      </c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>
        <f>2313.2+3222.9+2301.8</f>
        <v>7837.9000000000005</v>
      </c>
      <c r="DM25" s="29"/>
      <c r="DN25" s="29"/>
      <c r="DO25" s="29"/>
      <c r="DP25" s="29"/>
      <c r="DQ25" s="29">
        <v>7445.57</v>
      </c>
      <c r="DR25" s="29"/>
      <c r="DS25" s="29">
        <v>2043.2</v>
      </c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>
        <v>107.6</v>
      </c>
      <c r="EN25" s="29"/>
      <c r="EO25" s="29"/>
      <c r="EP25" s="29"/>
      <c r="EQ25" s="29"/>
      <c r="ER25" s="29"/>
      <c r="ES25" s="29"/>
      <c r="ET25" s="29">
        <v>8264.2999999999993</v>
      </c>
      <c r="EU25" s="29"/>
      <c r="EV25" s="29"/>
      <c r="EW25" s="29"/>
      <c r="EX25" s="29">
        <f>41157.6+40773.2+40367.7+43753.6</f>
        <v>166052.09999999998</v>
      </c>
      <c r="EY25" s="29"/>
      <c r="EZ25" s="33">
        <v>26000</v>
      </c>
      <c r="FA25" s="29"/>
      <c r="FB25" s="29"/>
      <c r="FC25" s="29"/>
      <c r="FD25" s="29">
        <f>125745.2+135295.9</f>
        <v>261041.09999999998</v>
      </c>
      <c r="FE25" s="29"/>
      <c r="FF25" s="29">
        <v>1506.5</v>
      </c>
      <c r="FG25" s="29"/>
      <c r="FH25" s="29"/>
      <c r="FI25" s="29">
        <v>1985719</v>
      </c>
      <c r="FJ25" s="29"/>
      <c r="FK25" s="29"/>
      <c r="FL25" s="29"/>
      <c r="FM25" s="29"/>
      <c r="FN25" s="29">
        <v>29765.47</v>
      </c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</row>
    <row r="26" spans="1:187" ht="13.5" thickBot="1" x14ac:dyDescent="0.25">
      <c r="A26" s="58" t="s">
        <v>46</v>
      </c>
      <c r="B26" s="57"/>
      <c r="C26" s="56">
        <f>SUM(D27:GE27)</f>
        <v>1579818.1</v>
      </c>
      <c r="D26" s="29"/>
      <c r="E26" s="29"/>
      <c r="F26" s="29"/>
      <c r="G26" s="29"/>
      <c r="H26" s="29"/>
      <c r="I26" s="29"/>
      <c r="J26" s="29"/>
      <c r="K26" s="29"/>
      <c r="L26" s="29">
        <v>1760</v>
      </c>
      <c r="M26" s="29"/>
      <c r="N26" s="29"/>
      <c r="O26" s="29"/>
      <c r="P26" s="29">
        <v>588</v>
      </c>
      <c r="Q26" s="29"/>
      <c r="R26" s="29"/>
      <c r="S26" s="29"/>
      <c r="T26" s="29"/>
      <c r="U26" s="29"/>
      <c r="V26" s="29">
        <v>248821.5</v>
      </c>
      <c r="W26" s="29"/>
      <c r="X26" s="29"/>
      <c r="Y26" s="29">
        <f>65590.8+2908.4</f>
        <v>68499.199999999997</v>
      </c>
      <c r="Z26" s="29"/>
      <c r="AA26" s="29"/>
      <c r="AB26" s="29"/>
      <c r="AC26" s="29">
        <v>48</v>
      </c>
      <c r="AD26" s="29"/>
      <c r="AE26" s="29">
        <v>5845</v>
      </c>
      <c r="AF26" s="29"/>
      <c r="AG26" s="29"/>
      <c r="AH26" s="29"/>
      <c r="AI26" s="29"/>
      <c r="AJ26" s="29"/>
      <c r="AK26" s="29"/>
      <c r="AL26" s="29">
        <v>880</v>
      </c>
      <c r="AM26" s="29"/>
      <c r="AN26" s="29"/>
      <c r="AO26" s="29">
        <v>1052.5999999999999</v>
      </c>
      <c r="AP26" s="29">
        <v>62.2</v>
      </c>
      <c r="AQ26" s="29">
        <v>320</v>
      </c>
      <c r="AR26" s="29">
        <v>28330.6</v>
      </c>
      <c r="AS26" s="29"/>
      <c r="AT26" s="29"/>
      <c r="AU26" s="29"/>
      <c r="AV26" s="29"/>
      <c r="AW26" s="29">
        <v>1179.9000000000001</v>
      </c>
      <c r="AX26" s="29">
        <v>2948.4</v>
      </c>
      <c r="AY26" s="29">
        <v>4064</v>
      </c>
      <c r="AZ26" s="29">
        <v>880</v>
      </c>
      <c r="BA26" s="29"/>
      <c r="BB26" s="29"/>
      <c r="BC26" s="29"/>
      <c r="BD26" s="29"/>
      <c r="BE26" s="29"/>
      <c r="BF26" s="29">
        <v>500</v>
      </c>
      <c r="BG26" s="29"/>
      <c r="BH26" s="29"/>
      <c r="BI26" s="29"/>
      <c r="BJ26" s="29"/>
      <c r="BK26" s="29">
        <v>620.5</v>
      </c>
      <c r="BL26" s="29">
        <v>1050</v>
      </c>
      <c r="BM26" s="29"/>
      <c r="BN26" s="29"/>
      <c r="BO26" s="29">
        <v>108</v>
      </c>
      <c r="BP26" s="29"/>
      <c r="BQ26" s="29">
        <v>1648</v>
      </c>
      <c r="BR26" s="29"/>
      <c r="BS26" s="29">
        <v>542.4</v>
      </c>
      <c r="BT26" s="29"/>
      <c r="BU26" s="29"/>
      <c r="BV26" s="29"/>
      <c r="BW26" s="29"/>
      <c r="BX26" s="29"/>
      <c r="BY26" s="29"/>
      <c r="BZ26" s="29"/>
      <c r="CA26" s="29"/>
      <c r="CB26" s="29">
        <v>1888</v>
      </c>
      <c r="CC26" s="29">
        <v>500</v>
      </c>
      <c r="CD26" s="29"/>
      <c r="CE26" s="29"/>
      <c r="CF26" s="29"/>
      <c r="CG26" s="29">
        <f>2529.2+697.7+196.1</f>
        <v>3422.9999999999995</v>
      </c>
      <c r="CH26" s="29"/>
      <c r="CI26" s="29"/>
      <c r="CJ26" s="29">
        <f>232.6+3681</f>
        <v>3913.6</v>
      </c>
      <c r="CK26" s="29"/>
      <c r="CL26" s="29"/>
      <c r="CM26" s="29">
        <v>1679.8</v>
      </c>
      <c r="CN26" s="29"/>
      <c r="CO26" s="29"/>
      <c r="CP26" s="29"/>
      <c r="CQ26" s="29"/>
      <c r="CR26" s="29"/>
      <c r="CS26" s="29"/>
      <c r="CT26" s="29"/>
      <c r="CU26" s="29"/>
      <c r="CV26" s="29">
        <v>419.7</v>
      </c>
      <c r="CW26" s="29"/>
      <c r="CX26" s="29"/>
      <c r="CY26" s="29"/>
      <c r="CZ26" s="29">
        <v>2744</v>
      </c>
      <c r="DA26" s="29"/>
      <c r="DB26" s="29">
        <v>674</v>
      </c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>
        <v>338</v>
      </c>
      <c r="DO26" s="29">
        <v>2610</v>
      </c>
      <c r="DP26" s="29"/>
      <c r="DQ26" s="29">
        <v>650</v>
      </c>
      <c r="DR26" s="29"/>
      <c r="DS26" s="29">
        <v>556.9</v>
      </c>
      <c r="DT26" s="29">
        <v>172.1</v>
      </c>
      <c r="DU26" s="29"/>
      <c r="DV26" s="29">
        <v>475</v>
      </c>
      <c r="DW26" s="29"/>
      <c r="DX26" s="29">
        <v>2506.8000000000002</v>
      </c>
      <c r="DY26" s="29"/>
      <c r="DZ26" s="29"/>
      <c r="EA26" s="29"/>
      <c r="EB26" s="29"/>
      <c r="EC26" s="29"/>
      <c r="ED26" s="29">
        <v>576</v>
      </c>
      <c r="EE26" s="29"/>
      <c r="EF26" s="29"/>
      <c r="EG26" s="29"/>
      <c r="EH26" s="29"/>
      <c r="EI26" s="29"/>
      <c r="EJ26" s="29"/>
      <c r="EK26" s="29"/>
      <c r="EL26" s="29">
        <v>2064</v>
      </c>
      <c r="EM26" s="29"/>
      <c r="EN26" s="29"/>
      <c r="EO26" s="29">
        <v>1629</v>
      </c>
      <c r="EP26" s="29"/>
      <c r="EQ26" s="29"/>
      <c r="ER26" s="29"/>
      <c r="ES26" s="29"/>
      <c r="ET26" s="29"/>
      <c r="EU26" s="29"/>
      <c r="EV26" s="29"/>
      <c r="EW26" s="29"/>
      <c r="EX26" s="29">
        <v>950</v>
      </c>
      <c r="EY26" s="29">
        <v>3488</v>
      </c>
      <c r="EZ26" s="29"/>
      <c r="FA26" s="29">
        <v>96</v>
      </c>
      <c r="FB26" s="29">
        <v>5504</v>
      </c>
      <c r="FC26" s="29">
        <v>1692.8</v>
      </c>
      <c r="FD26" s="29">
        <v>2128.8000000000002</v>
      </c>
      <c r="FE26" s="29"/>
      <c r="FF26" s="29"/>
      <c r="FG26" s="29">
        <v>250</v>
      </c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>
        <v>19036</v>
      </c>
      <c r="FT26" s="29"/>
      <c r="FU26" s="29">
        <v>11998</v>
      </c>
      <c r="FV26" s="29"/>
      <c r="FW26" s="29">
        <v>8606.2000000000007</v>
      </c>
      <c r="FX26" s="29"/>
      <c r="FY26" s="29">
        <v>2135.6</v>
      </c>
      <c r="FZ26" s="29"/>
      <c r="GA26" s="29"/>
      <c r="GB26" s="29">
        <v>2172.6</v>
      </c>
      <c r="GC26" s="29"/>
      <c r="GD26" s="29"/>
      <c r="GE26" s="29"/>
    </row>
    <row r="27" spans="1:187" ht="13.5" thickBot="1" x14ac:dyDescent="0.25">
      <c r="A27" s="58" t="s">
        <v>47</v>
      </c>
      <c r="B27" s="57"/>
      <c r="C27" s="56">
        <f>SUM(D28:GE28)</f>
        <v>1636</v>
      </c>
      <c r="D27" s="29"/>
      <c r="E27" s="29"/>
      <c r="F27" s="29"/>
      <c r="G27" s="29"/>
      <c r="H27" s="29"/>
      <c r="I27" s="29"/>
      <c r="J27" s="29">
        <v>125</v>
      </c>
      <c r="K27" s="29"/>
      <c r="L27" s="29">
        <f>1000+1675.3</f>
        <v>2675.3</v>
      </c>
      <c r="M27" s="29"/>
      <c r="N27" s="29"/>
      <c r="O27" s="29">
        <v>1295000</v>
      </c>
      <c r="P27" s="29"/>
      <c r="Q27" s="29"/>
      <c r="R27" s="29"/>
      <c r="S27" s="29"/>
      <c r="T27" s="29"/>
      <c r="U27" s="29"/>
      <c r="V27" s="29">
        <v>1923.5</v>
      </c>
      <c r="W27" s="29"/>
      <c r="X27" s="29"/>
      <c r="Y27" s="29">
        <f>37736.5+20849.9</f>
        <v>58586.400000000001</v>
      </c>
      <c r="Z27" s="29"/>
      <c r="AA27" s="29"/>
      <c r="AB27" s="29">
        <v>1000</v>
      </c>
      <c r="AC27" s="29"/>
      <c r="AD27" s="29"/>
      <c r="AE27" s="29">
        <v>36800</v>
      </c>
      <c r="AF27" s="29"/>
      <c r="AG27" s="29">
        <v>3080</v>
      </c>
      <c r="AH27" s="29"/>
      <c r="AI27" s="29"/>
      <c r="AJ27" s="29"/>
      <c r="AK27" s="29">
        <v>1190</v>
      </c>
      <c r="AL27" s="29">
        <v>2728</v>
      </c>
      <c r="AM27" s="29"/>
      <c r="AN27" s="29"/>
      <c r="AO27" s="29"/>
      <c r="AP27" s="29">
        <v>252</v>
      </c>
      <c r="AQ27" s="29">
        <v>2164</v>
      </c>
      <c r="AR27" s="29"/>
      <c r="AS27" s="29"/>
      <c r="AT27" s="29">
        <v>2700</v>
      </c>
      <c r="AU27" s="29"/>
      <c r="AV27" s="29"/>
      <c r="AW27" s="29"/>
      <c r="AX27" s="29">
        <v>268.39999999999998</v>
      </c>
      <c r="AY27" s="29">
        <v>3222.3</v>
      </c>
      <c r="AZ27" s="29">
        <v>4744.8</v>
      </c>
      <c r="BA27" s="29"/>
      <c r="BB27" s="29"/>
      <c r="BC27" s="29">
        <v>2912.3</v>
      </c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>
        <v>7520.9</v>
      </c>
      <c r="BR27" s="29"/>
      <c r="BS27" s="29"/>
      <c r="BT27" s="29"/>
      <c r="BU27" s="29"/>
      <c r="BV27" s="29"/>
      <c r="BW27" s="29"/>
      <c r="BX27" s="29"/>
      <c r="BY27" s="29"/>
      <c r="BZ27" s="29"/>
      <c r="CA27" s="29">
        <v>245.6</v>
      </c>
      <c r="CB27" s="29"/>
      <c r="CC27" s="29">
        <v>100</v>
      </c>
      <c r="CD27" s="29"/>
      <c r="CE27" s="29">
        <v>792</v>
      </c>
      <c r="CF27" s="29"/>
      <c r="CG27" s="29"/>
      <c r="CH27" s="29"/>
      <c r="CI27" s="29"/>
      <c r="CJ27" s="29">
        <v>11020.8</v>
      </c>
      <c r="CK27" s="29"/>
      <c r="CL27" s="29"/>
      <c r="CM27" s="29">
        <v>156.80000000000001</v>
      </c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>
        <v>1300.5</v>
      </c>
      <c r="DO27" s="29"/>
      <c r="DP27" s="29"/>
      <c r="DQ27" s="29"/>
      <c r="DR27" s="29"/>
      <c r="DS27" s="29"/>
      <c r="DT27" s="29"/>
      <c r="DU27" s="29">
        <v>3121.8</v>
      </c>
      <c r="DV27" s="29"/>
      <c r="DW27" s="29"/>
      <c r="DX27" s="29">
        <v>300</v>
      </c>
      <c r="DY27" s="29"/>
      <c r="DZ27" s="29"/>
      <c r="EA27" s="29">
        <v>6851.1</v>
      </c>
      <c r="EB27" s="29"/>
      <c r="EC27" s="29"/>
      <c r="ED27" s="29">
        <v>40</v>
      </c>
      <c r="EE27" s="29"/>
      <c r="EF27" s="29"/>
      <c r="EG27" s="29"/>
      <c r="EH27" s="29">
        <v>2222.5</v>
      </c>
      <c r="EI27" s="29">
        <v>134.19999999999999</v>
      </c>
      <c r="EJ27" s="29"/>
      <c r="EK27" s="29"/>
      <c r="EL27" s="29"/>
      <c r="EM27" s="29"/>
      <c r="EN27" s="29"/>
      <c r="EO27" s="29">
        <v>21784</v>
      </c>
      <c r="EP27" s="29"/>
      <c r="EQ27" s="29"/>
      <c r="ER27" s="29">
        <v>3323</v>
      </c>
      <c r="ES27" s="29">
        <v>1104.5</v>
      </c>
      <c r="ET27" s="29">
        <v>1000</v>
      </c>
      <c r="EU27" s="29"/>
      <c r="EV27" s="29"/>
      <c r="EW27" s="29"/>
      <c r="EX27" s="29">
        <v>900</v>
      </c>
      <c r="EY27" s="29"/>
      <c r="EZ27" s="29"/>
      <c r="FA27" s="29"/>
      <c r="FB27" s="29">
        <f>30000+30000</f>
        <v>60000</v>
      </c>
      <c r="FC27" s="29">
        <v>639.4</v>
      </c>
      <c r="FD27" s="29"/>
      <c r="FE27" s="29"/>
      <c r="FF27" s="29"/>
      <c r="FG27" s="29"/>
      <c r="FH27" s="29">
        <v>6832.5</v>
      </c>
      <c r="FI27" s="29"/>
      <c r="FJ27" s="29"/>
      <c r="FK27" s="29"/>
      <c r="FL27" s="29">
        <v>268.39999999999998</v>
      </c>
      <c r="FM27" s="29"/>
      <c r="FN27" s="29"/>
      <c r="FO27" s="29"/>
      <c r="FP27" s="29"/>
      <c r="FQ27" s="29"/>
      <c r="FR27" s="34">
        <v>25497.599999999999</v>
      </c>
      <c r="FS27" s="29">
        <v>2548.4</v>
      </c>
      <c r="FT27" s="29"/>
      <c r="FU27" s="29">
        <v>432</v>
      </c>
      <c r="FV27" s="29"/>
      <c r="FW27" s="29">
        <v>60</v>
      </c>
      <c r="FX27" s="29"/>
      <c r="FY27" s="29"/>
      <c r="FZ27" s="29"/>
      <c r="GA27" s="29"/>
      <c r="GB27" s="29"/>
      <c r="GC27" s="29"/>
      <c r="GD27" s="29"/>
      <c r="GE27" s="29">
        <v>2250.1</v>
      </c>
    </row>
    <row r="28" spans="1:187" ht="13.5" thickBot="1" x14ac:dyDescent="0.25">
      <c r="A28" s="55" t="s">
        <v>48</v>
      </c>
      <c r="B28" s="56"/>
      <c r="C28" s="56">
        <f>SUM(D29:GE29)</f>
        <v>3176683.7700000005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>
        <v>1066</v>
      </c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>
        <v>570</v>
      </c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</row>
    <row r="29" spans="1:187" ht="13.5" thickBot="1" x14ac:dyDescent="0.25">
      <c r="A29" s="55" t="s">
        <v>49</v>
      </c>
      <c r="B29" s="56"/>
      <c r="C29" s="56">
        <f>SUM(D30:GE30)</f>
        <v>46806</v>
      </c>
      <c r="D29" s="35"/>
      <c r="E29" s="35"/>
      <c r="F29" s="35"/>
      <c r="G29" s="35"/>
      <c r="H29" s="35"/>
      <c r="I29" s="35"/>
      <c r="J29" s="35">
        <v>7776</v>
      </c>
      <c r="K29" s="35"/>
      <c r="L29" s="35"/>
      <c r="M29" s="35"/>
      <c r="N29" s="35"/>
      <c r="O29" s="35">
        <v>782753.2</v>
      </c>
      <c r="P29" s="35"/>
      <c r="Q29" s="35"/>
      <c r="R29" s="35"/>
      <c r="S29" s="35"/>
      <c r="T29" s="35"/>
      <c r="U29" s="35"/>
      <c r="V29" s="35">
        <v>83253.87</v>
      </c>
      <c r="W29" s="35"/>
      <c r="X29" s="35"/>
      <c r="Y29" s="35">
        <v>963176.2</v>
      </c>
      <c r="Z29" s="35"/>
      <c r="AA29" s="35"/>
      <c r="AB29" s="35"/>
      <c r="AC29" s="35"/>
      <c r="AD29" s="35"/>
      <c r="AE29" s="35">
        <v>10951.2</v>
      </c>
      <c r="AF29" s="35"/>
      <c r="AG29" s="35">
        <v>4536</v>
      </c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>
        <v>90936</v>
      </c>
      <c r="AS29" s="35">
        <v>85418</v>
      </c>
      <c r="AT29" s="35"/>
      <c r="AU29" s="35"/>
      <c r="AV29" s="35"/>
      <c r="AW29" s="35">
        <v>7776</v>
      </c>
      <c r="AX29" s="35">
        <v>236195.20000000001</v>
      </c>
      <c r="AY29" s="35">
        <v>19452.2</v>
      </c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>
        <v>1320</v>
      </c>
      <c r="BM29" s="35">
        <v>11872</v>
      </c>
      <c r="BN29" s="35"/>
      <c r="BO29" s="35"/>
      <c r="BP29" s="35"/>
      <c r="BQ29" s="35"/>
      <c r="BR29" s="35"/>
      <c r="BS29" s="35"/>
      <c r="BT29" s="35"/>
      <c r="BU29" s="35"/>
      <c r="BV29" s="35">
        <v>4320</v>
      </c>
      <c r="BW29" s="35"/>
      <c r="BX29" s="35"/>
      <c r="BY29" s="35"/>
      <c r="BZ29" s="35"/>
      <c r="CA29" s="35">
        <v>7776</v>
      </c>
      <c r="CB29" s="35"/>
      <c r="CC29" s="35"/>
      <c r="CD29" s="35"/>
      <c r="CE29" s="35"/>
      <c r="CF29" s="35"/>
      <c r="CG29" s="35"/>
      <c r="CH29" s="35"/>
      <c r="CI29" s="35"/>
      <c r="CJ29" s="35">
        <v>13321.6</v>
      </c>
      <c r="CK29" s="35"/>
      <c r="CL29" s="35"/>
      <c r="CM29" s="35">
        <v>19610.8</v>
      </c>
      <c r="CN29" s="35"/>
      <c r="CO29" s="35"/>
      <c r="CP29" s="35">
        <v>22960</v>
      </c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>
        <v>92520</v>
      </c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>
        <v>28506</v>
      </c>
      <c r="EJ29" s="35"/>
      <c r="EK29" s="35"/>
      <c r="EL29" s="35">
        <v>84981.6</v>
      </c>
      <c r="EM29" s="35"/>
      <c r="EN29" s="35"/>
      <c r="EO29" s="35">
        <v>168966</v>
      </c>
      <c r="EP29" s="35"/>
      <c r="EQ29" s="35"/>
      <c r="ER29" s="35"/>
      <c r="ES29" s="35"/>
      <c r="ET29" s="35"/>
      <c r="EU29" s="35"/>
      <c r="EV29" s="35"/>
      <c r="EW29" s="35"/>
      <c r="EX29" s="35">
        <v>165977.60000000001</v>
      </c>
      <c r="EY29" s="35"/>
      <c r="EZ29" s="35"/>
      <c r="FA29" s="35"/>
      <c r="FB29" s="35">
        <v>69739.199999999997</v>
      </c>
      <c r="FC29" s="35"/>
      <c r="FD29" s="35">
        <v>71146.7</v>
      </c>
      <c r="FE29" s="35"/>
      <c r="FF29" s="35"/>
      <c r="FG29" s="35"/>
      <c r="FH29" s="35">
        <v>3290.4</v>
      </c>
      <c r="FI29" s="35"/>
      <c r="FJ29" s="35"/>
      <c r="FK29" s="35"/>
      <c r="FL29" s="35">
        <v>1296</v>
      </c>
      <c r="FM29" s="35"/>
      <c r="FN29" s="35"/>
      <c r="FO29" s="35"/>
      <c r="FP29" s="35"/>
      <c r="FQ29" s="35"/>
      <c r="FR29" s="35">
        <v>100440</v>
      </c>
      <c r="FS29" s="35"/>
      <c r="FT29" s="35"/>
      <c r="FU29" s="35"/>
      <c r="FV29" s="35"/>
      <c r="FW29" s="35"/>
      <c r="FX29" s="35">
        <v>4536</v>
      </c>
      <c r="FY29" s="35">
        <v>5184</v>
      </c>
      <c r="FZ29" s="35"/>
      <c r="GA29" s="35"/>
      <c r="GB29" s="35">
        <v>6696</v>
      </c>
      <c r="GC29" s="35"/>
      <c r="GD29" s="35"/>
      <c r="GE29" s="35"/>
    </row>
    <row r="30" spans="1:187" ht="13.5" thickBot="1" x14ac:dyDescent="0.25">
      <c r="A30" s="58" t="s">
        <v>50</v>
      </c>
      <c r="B30" s="59"/>
      <c r="C30" s="55">
        <f>SUM(D31:GE31)</f>
        <v>0</v>
      </c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>
        <v>40</v>
      </c>
      <c r="CF30" s="29">
        <v>15100</v>
      </c>
      <c r="CG30" s="29"/>
      <c r="CH30" s="29"/>
      <c r="CI30" s="29"/>
      <c r="CJ30" s="29"/>
      <c r="CK30" s="29"/>
      <c r="CL30" s="29"/>
      <c r="CM30" s="29">
        <v>540</v>
      </c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>
        <v>11000</v>
      </c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>
        <v>1722.5</v>
      </c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>
        <v>6000</v>
      </c>
      <c r="FE30" s="29">
        <v>7543.5</v>
      </c>
      <c r="FF30" s="29"/>
      <c r="FG30" s="29"/>
      <c r="FH30" s="29"/>
      <c r="FI30" s="29"/>
      <c r="FJ30" s="29"/>
      <c r="FK30" s="29"/>
      <c r="FL30" s="29"/>
      <c r="FM30" s="29"/>
      <c r="FN30" s="29"/>
      <c r="FO30" s="29"/>
      <c r="FP30" s="29"/>
      <c r="FQ30" s="29"/>
      <c r="FR30" s="29"/>
      <c r="FS30" s="29"/>
      <c r="FT30" s="29"/>
      <c r="FU30" s="29">
        <v>4860</v>
      </c>
      <c r="FV30" s="29"/>
      <c r="FW30" s="29"/>
      <c r="FX30" s="29"/>
      <c r="FY30" s="29"/>
      <c r="FZ30" s="29"/>
      <c r="GA30" s="29"/>
      <c r="GB30" s="29"/>
      <c r="GC30" s="29"/>
      <c r="GD30" s="29"/>
      <c r="GE30" s="29"/>
    </row>
    <row r="31" spans="1:187" ht="15.75" thickBot="1" x14ac:dyDescent="0.25">
      <c r="A31" s="52" t="s">
        <v>51</v>
      </c>
      <c r="B31" s="53" t="s">
        <v>4</v>
      </c>
      <c r="C31" s="60">
        <f>C33+C34+C35</f>
        <v>8385076.9240000006</v>
      </c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</row>
    <row r="32" spans="1:187" s="26" customFormat="1" ht="39" thickBot="1" x14ac:dyDescent="0.25">
      <c r="A32" s="55" t="s">
        <v>52</v>
      </c>
      <c r="B32" s="56"/>
      <c r="C32" s="56">
        <f>SUM(D33:GE33)</f>
        <v>42437.5</v>
      </c>
      <c r="D32" s="36">
        <f>D33+D34+D35</f>
        <v>0</v>
      </c>
      <c r="E32" s="36">
        <f t="shared" ref="E32:BP32" si="7">E33+E34+E35</f>
        <v>0</v>
      </c>
      <c r="F32" s="36">
        <f t="shared" si="7"/>
        <v>0</v>
      </c>
      <c r="G32" s="36">
        <f t="shared" si="7"/>
        <v>0</v>
      </c>
      <c r="H32" s="36">
        <f t="shared" si="7"/>
        <v>46.3</v>
      </c>
      <c r="I32" s="36">
        <f t="shared" si="7"/>
        <v>0</v>
      </c>
      <c r="J32" s="36">
        <f t="shared" si="7"/>
        <v>39.5</v>
      </c>
      <c r="K32" s="36">
        <f t="shared" si="7"/>
        <v>603</v>
      </c>
      <c r="L32" s="36">
        <f t="shared" si="7"/>
        <v>0</v>
      </c>
      <c r="M32" s="36">
        <f t="shared" si="7"/>
        <v>154.91</v>
      </c>
      <c r="N32" s="36">
        <f t="shared" si="7"/>
        <v>2606</v>
      </c>
      <c r="O32" s="36">
        <f t="shared" si="7"/>
        <v>82681.25</v>
      </c>
      <c r="P32" s="36">
        <f t="shared" si="7"/>
        <v>918.3</v>
      </c>
      <c r="Q32" s="36">
        <f t="shared" si="7"/>
        <v>0</v>
      </c>
      <c r="R32" s="36">
        <f t="shared" si="7"/>
        <v>10.3</v>
      </c>
      <c r="S32" s="36">
        <f t="shared" si="7"/>
        <v>0</v>
      </c>
      <c r="T32" s="36">
        <f t="shared" si="7"/>
        <v>27.9</v>
      </c>
      <c r="U32" s="36">
        <f t="shared" si="7"/>
        <v>15</v>
      </c>
      <c r="V32" s="36">
        <f t="shared" si="7"/>
        <v>10136.200000000001</v>
      </c>
      <c r="W32" s="36">
        <f t="shared" si="7"/>
        <v>0</v>
      </c>
      <c r="X32" s="36">
        <f t="shared" si="7"/>
        <v>0</v>
      </c>
      <c r="Y32" s="36">
        <f t="shared" si="7"/>
        <v>619.9</v>
      </c>
      <c r="Z32" s="36">
        <f t="shared" si="7"/>
        <v>0</v>
      </c>
      <c r="AA32" s="36">
        <f t="shared" si="7"/>
        <v>0</v>
      </c>
      <c r="AB32" s="36">
        <f t="shared" si="7"/>
        <v>13513.58</v>
      </c>
      <c r="AC32" s="36">
        <f t="shared" si="7"/>
        <v>0</v>
      </c>
      <c r="AD32" s="36">
        <f t="shared" si="7"/>
        <v>0</v>
      </c>
      <c r="AE32" s="36">
        <f t="shared" si="7"/>
        <v>25.9</v>
      </c>
      <c r="AF32" s="36">
        <f t="shared" si="7"/>
        <v>0</v>
      </c>
      <c r="AG32" s="36">
        <f t="shared" si="7"/>
        <v>756.3</v>
      </c>
      <c r="AH32" s="36">
        <f t="shared" si="7"/>
        <v>0</v>
      </c>
      <c r="AI32" s="36">
        <f t="shared" si="7"/>
        <v>0</v>
      </c>
      <c r="AJ32" s="36">
        <f t="shared" si="7"/>
        <v>0</v>
      </c>
      <c r="AK32" s="36">
        <f t="shared" si="7"/>
        <v>0</v>
      </c>
      <c r="AL32" s="36">
        <f t="shared" si="7"/>
        <v>0</v>
      </c>
      <c r="AM32" s="36">
        <f t="shared" si="7"/>
        <v>0</v>
      </c>
      <c r="AN32" s="36">
        <f t="shared" si="7"/>
        <v>749.3</v>
      </c>
      <c r="AO32" s="36">
        <f t="shared" si="7"/>
        <v>0</v>
      </c>
      <c r="AP32" s="36">
        <f t="shared" si="7"/>
        <v>0</v>
      </c>
      <c r="AQ32" s="36">
        <f t="shared" si="7"/>
        <v>9.3000000000000007</v>
      </c>
      <c r="AR32" s="36">
        <f t="shared" si="7"/>
        <v>88567.65</v>
      </c>
      <c r="AS32" s="36">
        <f t="shared" si="7"/>
        <v>8528.3700000000008</v>
      </c>
      <c r="AT32" s="36">
        <f t="shared" si="7"/>
        <v>0</v>
      </c>
      <c r="AU32" s="36">
        <f t="shared" si="7"/>
        <v>0</v>
      </c>
      <c r="AV32" s="36">
        <f t="shared" si="7"/>
        <v>390.24</v>
      </c>
      <c r="AW32" s="36">
        <f t="shared" si="7"/>
        <v>0</v>
      </c>
      <c r="AX32" s="36">
        <f t="shared" si="7"/>
        <v>5265.69</v>
      </c>
      <c r="AY32" s="36">
        <f t="shared" si="7"/>
        <v>0</v>
      </c>
      <c r="AZ32" s="36">
        <f t="shared" si="7"/>
        <v>7</v>
      </c>
      <c r="BA32" s="36">
        <f t="shared" si="7"/>
        <v>0</v>
      </c>
      <c r="BB32" s="36">
        <f t="shared" si="7"/>
        <v>0</v>
      </c>
      <c r="BC32" s="36">
        <f t="shared" si="7"/>
        <v>0</v>
      </c>
      <c r="BD32" s="36">
        <f t="shared" si="7"/>
        <v>0</v>
      </c>
      <c r="BE32" s="36">
        <f t="shared" si="7"/>
        <v>0</v>
      </c>
      <c r="BF32" s="36">
        <f t="shared" si="7"/>
        <v>10</v>
      </c>
      <c r="BG32" s="36">
        <f t="shared" si="7"/>
        <v>0</v>
      </c>
      <c r="BH32" s="36">
        <f t="shared" si="7"/>
        <v>0</v>
      </c>
      <c r="BI32" s="36">
        <f t="shared" si="7"/>
        <v>0</v>
      </c>
      <c r="BJ32" s="36">
        <f t="shared" si="7"/>
        <v>0</v>
      </c>
      <c r="BK32" s="36">
        <f t="shared" si="7"/>
        <v>0</v>
      </c>
      <c r="BL32" s="36">
        <f t="shared" si="7"/>
        <v>66.5</v>
      </c>
      <c r="BM32" s="36">
        <f t="shared" si="7"/>
        <v>0</v>
      </c>
      <c r="BN32" s="36">
        <f t="shared" si="7"/>
        <v>0</v>
      </c>
      <c r="BO32" s="36">
        <f t="shared" si="7"/>
        <v>25</v>
      </c>
      <c r="BP32" s="36">
        <f t="shared" si="7"/>
        <v>0</v>
      </c>
      <c r="BQ32" s="36">
        <f t="shared" ref="BQ32:EB32" si="8">BQ33+BQ34+BQ35</f>
        <v>0</v>
      </c>
      <c r="BR32" s="36">
        <f t="shared" si="8"/>
        <v>0</v>
      </c>
      <c r="BS32" s="36">
        <f t="shared" si="8"/>
        <v>50</v>
      </c>
      <c r="BT32" s="36">
        <f t="shared" si="8"/>
        <v>0</v>
      </c>
      <c r="BU32" s="36">
        <f t="shared" si="8"/>
        <v>0</v>
      </c>
      <c r="BV32" s="36">
        <f t="shared" si="8"/>
        <v>0</v>
      </c>
      <c r="BW32" s="36">
        <f t="shared" si="8"/>
        <v>12.85</v>
      </c>
      <c r="BX32" s="36">
        <f t="shared" si="8"/>
        <v>0</v>
      </c>
      <c r="BY32" s="36">
        <f t="shared" si="8"/>
        <v>0</v>
      </c>
      <c r="BZ32" s="36">
        <f t="shared" si="8"/>
        <v>15</v>
      </c>
      <c r="CA32" s="36">
        <f t="shared" si="8"/>
        <v>30.5</v>
      </c>
      <c r="CB32" s="36">
        <f t="shared" si="8"/>
        <v>0</v>
      </c>
      <c r="CC32" s="36">
        <f t="shared" si="8"/>
        <v>0</v>
      </c>
      <c r="CD32" s="36">
        <f t="shared" si="8"/>
        <v>0</v>
      </c>
      <c r="CE32" s="36">
        <f t="shared" si="8"/>
        <v>55.2</v>
      </c>
      <c r="CF32" s="36">
        <f t="shared" si="8"/>
        <v>139.51</v>
      </c>
      <c r="CG32" s="36">
        <f t="shared" si="8"/>
        <v>8</v>
      </c>
      <c r="CH32" s="36">
        <f t="shared" si="8"/>
        <v>0</v>
      </c>
      <c r="CI32" s="36">
        <f t="shared" si="8"/>
        <v>430.13</v>
      </c>
      <c r="CJ32" s="36">
        <f t="shared" si="8"/>
        <v>17131.8</v>
      </c>
      <c r="CK32" s="36">
        <f t="shared" si="8"/>
        <v>0</v>
      </c>
      <c r="CL32" s="36">
        <f t="shared" si="8"/>
        <v>2376.4</v>
      </c>
      <c r="CM32" s="36">
        <f t="shared" si="8"/>
        <v>817770.94</v>
      </c>
      <c r="CN32" s="36">
        <f t="shared" si="8"/>
        <v>0</v>
      </c>
      <c r="CO32" s="36">
        <f t="shared" si="8"/>
        <v>51.1</v>
      </c>
      <c r="CP32" s="36">
        <f t="shared" si="8"/>
        <v>181.68</v>
      </c>
      <c r="CQ32" s="36">
        <f t="shared" si="8"/>
        <v>0</v>
      </c>
      <c r="CR32" s="36">
        <f t="shared" si="8"/>
        <v>0</v>
      </c>
      <c r="CS32" s="36">
        <f t="shared" si="8"/>
        <v>0</v>
      </c>
      <c r="CT32" s="36">
        <f t="shared" si="8"/>
        <v>0</v>
      </c>
      <c r="CU32" s="36">
        <f t="shared" si="8"/>
        <v>0</v>
      </c>
      <c r="CV32" s="36">
        <f t="shared" si="8"/>
        <v>0</v>
      </c>
      <c r="CW32" s="36">
        <f t="shared" si="8"/>
        <v>0</v>
      </c>
      <c r="CX32" s="36">
        <f t="shared" si="8"/>
        <v>542.12</v>
      </c>
      <c r="CY32" s="36">
        <f t="shared" si="8"/>
        <v>0</v>
      </c>
      <c r="CZ32" s="36">
        <f t="shared" si="8"/>
        <v>0</v>
      </c>
      <c r="DA32" s="36">
        <f t="shared" si="8"/>
        <v>0</v>
      </c>
      <c r="DB32" s="36">
        <f t="shared" si="8"/>
        <v>32040.254000000001</v>
      </c>
      <c r="DC32" s="36">
        <f t="shared" si="8"/>
        <v>0</v>
      </c>
      <c r="DD32" s="36">
        <f t="shared" si="8"/>
        <v>0</v>
      </c>
      <c r="DE32" s="36">
        <f t="shared" si="8"/>
        <v>0</v>
      </c>
      <c r="DF32" s="36">
        <f t="shared" si="8"/>
        <v>34.4</v>
      </c>
      <c r="DG32" s="36">
        <f t="shared" si="8"/>
        <v>0</v>
      </c>
      <c r="DH32" s="36">
        <f t="shared" si="8"/>
        <v>0</v>
      </c>
      <c r="DI32" s="36">
        <f t="shared" si="8"/>
        <v>56.8</v>
      </c>
      <c r="DJ32" s="36">
        <f t="shared" si="8"/>
        <v>0</v>
      </c>
      <c r="DK32" s="36">
        <f t="shared" si="8"/>
        <v>0</v>
      </c>
      <c r="DL32" s="36">
        <f t="shared" si="8"/>
        <v>0</v>
      </c>
      <c r="DM32" s="36">
        <f t="shared" si="8"/>
        <v>0</v>
      </c>
      <c r="DN32" s="36">
        <f t="shared" si="8"/>
        <v>0</v>
      </c>
      <c r="DO32" s="36">
        <f t="shared" si="8"/>
        <v>0</v>
      </c>
      <c r="DP32" s="36">
        <f t="shared" si="8"/>
        <v>0</v>
      </c>
      <c r="DQ32" s="36">
        <f t="shared" si="8"/>
        <v>44104.18</v>
      </c>
      <c r="DR32" s="36">
        <f t="shared" si="8"/>
        <v>14910.98</v>
      </c>
      <c r="DS32" s="36">
        <f t="shared" si="8"/>
        <v>0</v>
      </c>
      <c r="DT32" s="36">
        <f t="shared" si="8"/>
        <v>0</v>
      </c>
      <c r="DU32" s="36">
        <f t="shared" si="8"/>
        <v>0</v>
      </c>
      <c r="DV32" s="36">
        <f t="shared" si="8"/>
        <v>0</v>
      </c>
      <c r="DW32" s="36">
        <f t="shared" si="8"/>
        <v>0</v>
      </c>
      <c r="DX32" s="36">
        <f t="shared" si="8"/>
        <v>0</v>
      </c>
      <c r="DY32" s="36">
        <f t="shared" si="8"/>
        <v>0</v>
      </c>
      <c r="DZ32" s="36">
        <f t="shared" si="8"/>
        <v>0</v>
      </c>
      <c r="EA32" s="36">
        <f t="shared" si="8"/>
        <v>0</v>
      </c>
      <c r="EB32" s="36">
        <f t="shared" si="8"/>
        <v>7</v>
      </c>
      <c r="EC32" s="36">
        <f t="shared" ref="EC32:GE32" si="9">EC33+EC34+EC35</f>
        <v>0</v>
      </c>
      <c r="ED32" s="36">
        <f t="shared" si="9"/>
        <v>0</v>
      </c>
      <c r="EE32" s="36">
        <f t="shared" si="9"/>
        <v>0</v>
      </c>
      <c r="EF32" s="36">
        <f t="shared" si="9"/>
        <v>0</v>
      </c>
      <c r="EG32" s="36">
        <f t="shared" si="9"/>
        <v>0</v>
      </c>
      <c r="EH32" s="36">
        <f t="shared" si="9"/>
        <v>35.97</v>
      </c>
      <c r="EI32" s="36">
        <f t="shared" si="9"/>
        <v>0</v>
      </c>
      <c r="EJ32" s="36">
        <f t="shared" si="9"/>
        <v>0</v>
      </c>
      <c r="EK32" s="36">
        <f t="shared" si="9"/>
        <v>0</v>
      </c>
      <c r="EL32" s="36">
        <f t="shared" si="9"/>
        <v>114</v>
      </c>
      <c r="EM32" s="36">
        <f t="shared" si="9"/>
        <v>0</v>
      </c>
      <c r="EN32" s="36">
        <f t="shared" si="9"/>
        <v>0</v>
      </c>
      <c r="EO32" s="36">
        <f t="shared" si="9"/>
        <v>7764.45</v>
      </c>
      <c r="EP32" s="36">
        <f t="shared" si="9"/>
        <v>0</v>
      </c>
      <c r="EQ32" s="36">
        <f t="shared" si="9"/>
        <v>871.28</v>
      </c>
      <c r="ER32" s="36">
        <f t="shared" si="9"/>
        <v>0</v>
      </c>
      <c r="ES32" s="36">
        <f t="shared" si="9"/>
        <v>100</v>
      </c>
      <c r="ET32" s="36">
        <f t="shared" si="9"/>
        <v>0</v>
      </c>
      <c r="EU32" s="36">
        <f t="shared" si="9"/>
        <v>6</v>
      </c>
      <c r="EV32" s="36">
        <f t="shared" si="9"/>
        <v>829.85</v>
      </c>
      <c r="EW32" s="36">
        <f t="shared" si="9"/>
        <v>20.77</v>
      </c>
      <c r="EX32" s="36">
        <f t="shared" si="9"/>
        <v>5825</v>
      </c>
      <c r="EY32" s="36">
        <f t="shared" si="9"/>
        <v>40.9</v>
      </c>
      <c r="EZ32" s="36">
        <f t="shared" si="9"/>
        <v>766.33</v>
      </c>
      <c r="FA32" s="36">
        <f t="shared" si="9"/>
        <v>0</v>
      </c>
      <c r="FB32" s="36">
        <f t="shared" si="9"/>
        <v>400.5</v>
      </c>
      <c r="FC32" s="36">
        <f t="shared" si="9"/>
        <v>0</v>
      </c>
      <c r="FD32" s="36">
        <f t="shared" si="9"/>
        <v>18955</v>
      </c>
      <c r="FE32" s="36">
        <f t="shared" si="9"/>
        <v>15</v>
      </c>
      <c r="FF32" s="36">
        <f t="shared" si="9"/>
        <v>0</v>
      </c>
      <c r="FG32" s="36">
        <f t="shared" si="9"/>
        <v>0</v>
      </c>
      <c r="FH32" s="36">
        <f t="shared" si="9"/>
        <v>0</v>
      </c>
      <c r="FI32" s="36">
        <f t="shared" si="9"/>
        <v>0</v>
      </c>
      <c r="FJ32" s="36">
        <f t="shared" si="9"/>
        <v>0</v>
      </c>
      <c r="FK32" s="36">
        <f t="shared" si="9"/>
        <v>0</v>
      </c>
      <c r="FL32" s="36">
        <f t="shared" si="9"/>
        <v>112.6</v>
      </c>
      <c r="FM32" s="36">
        <f t="shared" si="9"/>
        <v>169.3</v>
      </c>
      <c r="FN32" s="36">
        <f t="shared" si="9"/>
        <v>2930</v>
      </c>
      <c r="FO32" s="36">
        <f t="shared" si="9"/>
        <v>0</v>
      </c>
      <c r="FP32" s="36">
        <f t="shared" si="9"/>
        <v>0</v>
      </c>
      <c r="FQ32" s="36">
        <f t="shared" si="9"/>
        <v>0</v>
      </c>
      <c r="FR32" s="36">
        <f t="shared" si="9"/>
        <v>214805.15</v>
      </c>
      <c r="FS32" s="36">
        <f t="shared" si="9"/>
        <v>240</v>
      </c>
      <c r="FT32" s="36">
        <f t="shared" si="9"/>
        <v>0</v>
      </c>
      <c r="FU32" s="36">
        <f t="shared" si="9"/>
        <v>1121899.3</v>
      </c>
      <c r="FV32" s="36">
        <f t="shared" si="9"/>
        <v>3480.2</v>
      </c>
      <c r="FW32" s="36">
        <f t="shared" si="9"/>
        <v>194</v>
      </c>
      <c r="FX32" s="36">
        <f t="shared" si="9"/>
        <v>0</v>
      </c>
      <c r="FY32" s="36">
        <f t="shared" si="9"/>
        <v>230.25</v>
      </c>
      <c r="FZ32" s="36">
        <f t="shared" si="9"/>
        <v>0</v>
      </c>
      <c r="GA32" s="36">
        <f t="shared" si="9"/>
        <v>0</v>
      </c>
      <c r="GB32" s="36">
        <f t="shared" si="9"/>
        <v>112.14</v>
      </c>
      <c r="GC32" s="36">
        <f t="shared" si="9"/>
        <v>0</v>
      </c>
      <c r="GD32" s="36">
        <f t="shared" si="9"/>
        <v>1280</v>
      </c>
      <c r="GE32" s="36">
        <f t="shared" si="9"/>
        <v>6561.9</v>
      </c>
    </row>
    <row r="33" spans="1:187" ht="26.25" thickBot="1" x14ac:dyDescent="0.25">
      <c r="A33" s="55" t="s">
        <v>53</v>
      </c>
      <c r="B33" s="56"/>
      <c r="C33" s="56">
        <f>SUM(D34:GE34)</f>
        <v>1718</v>
      </c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>
        <v>42275.5</v>
      </c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7">
        <v>6</v>
      </c>
      <c r="EV33" s="35"/>
      <c r="EW33" s="35"/>
      <c r="EX33" s="35"/>
      <c r="EY33" s="35"/>
      <c r="EZ33" s="35"/>
      <c r="FA33" s="35"/>
      <c r="FB33" s="35">
        <v>156</v>
      </c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</row>
    <row r="34" spans="1:187" ht="26.25" customHeight="1" thickBot="1" x14ac:dyDescent="0.25">
      <c r="A34" s="55" t="s">
        <v>54</v>
      </c>
      <c r="B34" s="56"/>
      <c r="C34" s="56">
        <f>SUM(D35:GE35)</f>
        <v>2489326.6240000003</v>
      </c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>
        <v>1718</v>
      </c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</row>
    <row r="35" spans="1:187" ht="30.75" thickBot="1" x14ac:dyDescent="0.25">
      <c r="A35" s="52" t="s">
        <v>55</v>
      </c>
      <c r="B35" s="53" t="s">
        <v>5</v>
      </c>
      <c r="C35" s="60">
        <f>C37+C38</f>
        <v>5894032.2999999998</v>
      </c>
      <c r="D35" s="35"/>
      <c r="E35" s="35"/>
      <c r="F35" s="35"/>
      <c r="G35" s="35"/>
      <c r="H35" s="35">
        <v>46.3</v>
      </c>
      <c r="I35" s="35"/>
      <c r="J35" s="35">
        <v>39.5</v>
      </c>
      <c r="K35" s="35">
        <v>603</v>
      </c>
      <c r="L35" s="35"/>
      <c r="M35" s="35">
        <v>154.91</v>
      </c>
      <c r="N35" s="35">
        <v>2606</v>
      </c>
      <c r="O35" s="35">
        <v>82681.25</v>
      </c>
      <c r="P35" s="35">
        <v>918.3</v>
      </c>
      <c r="Q35" s="35"/>
      <c r="R35" s="35">
        <v>10.3</v>
      </c>
      <c r="S35" s="35"/>
      <c r="T35" s="35">
        <v>27.9</v>
      </c>
      <c r="U35" s="35">
        <v>15</v>
      </c>
      <c r="V35" s="35">
        <v>10136.200000000001</v>
      </c>
      <c r="W35" s="35"/>
      <c r="X35" s="35"/>
      <c r="Y35" s="35">
        <v>619.9</v>
      </c>
      <c r="Z35" s="35"/>
      <c r="AA35" s="35"/>
      <c r="AB35" s="35">
        <v>13513.58</v>
      </c>
      <c r="AC35" s="35"/>
      <c r="AD35" s="35"/>
      <c r="AE35" s="35">
        <v>25.9</v>
      </c>
      <c r="AF35" s="35"/>
      <c r="AG35" s="35">
        <v>756.3</v>
      </c>
      <c r="AH35" s="35"/>
      <c r="AI35" s="35"/>
      <c r="AJ35" s="35"/>
      <c r="AK35" s="35"/>
      <c r="AL35" s="35"/>
      <c r="AM35" s="35"/>
      <c r="AN35" s="35">
        <v>749.3</v>
      </c>
      <c r="AO35" s="35"/>
      <c r="AP35" s="35"/>
      <c r="AQ35" s="35">
        <v>9.3000000000000007</v>
      </c>
      <c r="AR35" s="35">
        <v>88567.65</v>
      </c>
      <c r="AS35" s="35">
        <v>8528.3700000000008</v>
      </c>
      <c r="AT35" s="35"/>
      <c r="AU35" s="35"/>
      <c r="AV35" s="35">
        <v>390.24</v>
      </c>
      <c r="AW35" s="35"/>
      <c r="AX35" s="35">
        <v>5265.69</v>
      </c>
      <c r="AY35" s="35"/>
      <c r="AZ35" s="35">
        <v>7</v>
      </c>
      <c r="BA35" s="35"/>
      <c r="BB35" s="35"/>
      <c r="BC35" s="35"/>
      <c r="BD35" s="35"/>
      <c r="BE35" s="35"/>
      <c r="BF35" s="35">
        <v>10</v>
      </c>
      <c r="BG35" s="35"/>
      <c r="BH35" s="35"/>
      <c r="BI35" s="35"/>
      <c r="BJ35" s="35"/>
      <c r="BK35" s="35"/>
      <c r="BL35" s="35">
        <v>66.5</v>
      </c>
      <c r="BM35" s="35"/>
      <c r="BN35" s="35"/>
      <c r="BO35" s="35">
        <v>25</v>
      </c>
      <c r="BP35" s="35"/>
      <c r="BQ35" s="35"/>
      <c r="BR35" s="35"/>
      <c r="BS35" s="35">
        <v>50</v>
      </c>
      <c r="BT35" s="35"/>
      <c r="BU35" s="35"/>
      <c r="BV35" s="35"/>
      <c r="BW35" s="35">
        <v>12.85</v>
      </c>
      <c r="BX35" s="35"/>
      <c r="BY35" s="35"/>
      <c r="BZ35" s="35">
        <v>15</v>
      </c>
      <c r="CA35" s="35">
        <v>30.5</v>
      </c>
      <c r="CB35" s="35"/>
      <c r="CC35" s="35"/>
      <c r="CD35" s="35"/>
      <c r="CE35" s="35">
        <v>55.2</v>
      </c>
      <c r="CF35" s="35">
        <v>139.51</v>
      </c>
      <c r="CG35" s="35">
        <v>8</v>
      </c>
      <c r="CH35" s="35"/>
      <c r="CI35" s="35">
        <v>430.13</v>
      </c>
      <c r="CJ35" s="35">
        <v>17131.8</v>
      </c>
      <c r="CK35" s="35"/>
      <c r="CL35" s="35">
        <v>2376.4</v>
      </c>
      <c r="CM35" s="35">
        <v>817770.94</v>
      </c>
      <c r="CN35" s="35"/>
      <c r="CO35" s="35">
        <v>51.1</v>
      </c>
      <c r="CP35" s="35">
        <v>181.68</v>
      </c>
      <c r="CQ35" s="35"/>
      <c r="CR35" s="35"/>
      <c r="CS35" s="35"/>
      <c r="CT35" s="35"/>
      <c r="CU35" s="35"/>
      <c r="CV35" s="35"/>
      <c r="CW35" s="35"/>
      <c r="CX35" s="35">
        <v>542.12</v>
      </c>
      <c r="CY35" s="35"/>
      <c r="CZ35" s="35"/>
      <c r="DA35" s="35"/>
      <c r="DB35" s="35">
        <v>32040.254000000001</v>
      </c>
      <c r="DC35" s="35"/>
      <c r="DD35" s="35"/>
      <c r="DE35" s="35"/>
      <c r="DF35" s="35">
        <v>34.4</v>
      </c>
      <c r="DG35" s="35"/>
      <c r="DH35" s="35"/>
      <c r="DI35" s="35">
        <v>56.8</v>
      </c>
      <c r="DJ35" s="35"/>
      <c r="DK35" s="35"/>
      <c r="DL35" s="35"/>
      <c r="DM35" s="35"/>
      <c r="DN35" s="35"/>
      <c r="DO35" s="35"/>
      <c r="DP35" s="35"/>
      <c r="DQ35" s="35">
        <v>110.68</v>
      </c>
      <c r="DR35" s="35">
        <v>14910.98</v>
      </c>
      <c r="DS35" s="35"/>
      <c r="DT35" s="35"/>
      <c r="DU35" s="35"/>
      <c r="DV35" s="35"/>
      <c r="DW35" s="35"/>
      <c r="DX35" s="35"/>
      <c r="DY35" s="35"/>
      <c r="DZ35" s="35"/>
      <c r="EA35" s="35"/>
      <c r="EB35" s="35">
        <v>7</v>
      </c>
      <c r="EC35" s="35"/>
      <c r="ED35" s="35"/>
      <c r="EE35" s="35"/>
      <c r="EF35" s="35"/>
      <c r="EG35" s="35"/>
      <c r="EH35" s="35">
        <v>35.97</v>
      </c>
      <c r="EI35" s="35"/>
      <c r="EJ35" s="35"/>
      <c r="EK35" s="35"/>
      <c r="EL35" s="35">
        <v>114</v>
      </c>
      <c r="EM35" s="35"/>
      <c r="EN35" s="35"/>
      <c r="EO35" s="35">
        <v>7764.45</v>
      </c>
      <c r="EP35" s="35"/>
      <c r="EQ35" s="35">
        <v>871.28</v>
      </c>
      <c r="ER35" s="35"/>
      <c r="ES35" s="35">
        <v>100</v>
      </c>
      <c r="ET35" s="35"/>
      <c r="EU35" s="35"/>
      <c r="EV35" s="35">
        <v>829.85</v>
      </c>
      <c r="EW35" s="35">
        <v>20.77</v>
      </c>
      <c r="EX35" s="35">
        <v>5825</v>
      </c>
      <c r="EY35" s="35">
        <v>40.9</v>
      </c>
      <c r="EZ35" s="35">
        <v>766.33</v>
      </c>
      <c r="FA35" s="35"/>
      <c r="FB35" s="35">
        <v>244.5</v>
      </c>
      <c r="FC35" s="35"/>
      <c r="FD35" s="35">
        <v>18955</v>
      </c>
      <c r="FE35" s="35">
        <v>15</v>
      </c>
      <c r="FF35" s="35"/>
      <c r="FG35" s="35"/>
      <c r="FH35" s="35"/>
      <c r="FI35" s="35"/>
      <c r="FJ35" s="35"/>
      <c r="FK35" s="35"/>
      <c r="FL35" s="35">
        <v>112.6</v>
      </c>
      <c r="FM35" s="35">
        <v>169.3</v>
      </c>
      <c r="FN35" s="35">
        <v>2930</v>
      </c>
      <c r="FO35" s="35"/>
      <c r="FP35" s="35"/>
      <c r="FQ35" s="35"/>
      <c r="FR35" s="35">
        <v>214805.15</v>
      </c>
      <c r="FS35" s="35">
        <v>240</v>
      </c>
      <c r="FT35" s="35"/>
      <c r="FU35" s="35">
        <v>1121899.3</v>
      </c>
      <c r="FV35" s="35">
        <v>3480.2</v>
      </c>
      <c r="FW35" s="35">
        <v>194</v>
      </c>
      <c r="FX35" s="35"/>
      <c r="FY35" s="35">
        <v>230.25</v>
      </c>
      <c r="FZ35" s="35"/>
      <c r="GA35" s="35"/>
      <c r="GB35" s="35">
        <v>112.14</v>
      </c>
      <c r="GC35" s="35"/>
      <c r="GD35" s="35">
        <v>1280</v>
      </c>
      <c r="GE35" s="35">
        <v>6561.9</v>
      </c>
    </row>
    <row r="36" spans="1:187" s="26" customFormat="1" ht="13.5" thickBot="1" x14ac:dyDescent="0.25">
      <c r="A36" s="55" t="s">
        <v>56</v>
      </c>
      <c r="B36" s="56"/>
      <c r="C36" s="56">
        <f>SUM(D37:GE37)</f>
        <v>27561079.699999999</v>
      </c>
      <c r="D36" s="36">
        <f>D37+D38</f>
        <v>0</v>
      </c>
      <c r="E36" s="36">
        <f t="shared" ref="E36:BP36" si="10">E37+E38</f>
        <v>0</v>
      </c>
      <c r="F36" s="36">
        <f t="shared" si="10"/>
        <v>0</v>
      </c>
      <c r="G36" s="36">
        <f t="shared" si="10"/>
        <v>0</v>
      </c>
      <c r="H36" s="36">
        <f t="shared" si="10"/>
        <v>0</v>
      </c>
      <c r="I36" s="36">
        <f t="shared" si="10"/>
        <v>0</v>
      </c>
      <c r="J36" s="36">
        <f t="shared" si="10"/>
        <v>0</v>
      </c>
      <c r="K36" s="36">
        <f t="shared" si="10"/>
        <v>0</v>
      </c>
      <c r="L36" s="36">
        <f t="shared" si="10"/>
        <v>0</v>
      </c>
      <c r="M36" s="36">
        <f t="shared" si="10"/>
        <v>0</v>
      </c>
      <c r="N36" s="36">
        <f t="shared" si="10"/>
        <v>0</v>
      </c>
      <c r="O36" s="36">
        <f t="shared" si="10"/>
        <v>21062246.199999999</v>
      </c>
      <c r="P36" s="36">
        <f t="shared" si="10"/>
        <v>0</v>
      </c>
      <c r="Q36" s="36">
        <f t="shared" si="10"/>
        <v>0</v>
      </c>
      <c r="R36" s="36">
        <f t="shared" si="10"/>
        <v>0</v>
      </c>
      <c r="S36" s="36">
        <f t="shared" si="10"/>
        <v>0</v>
      </c>
      <c r="T36" s="36">
        <f t="shared" si="10"/>
        <v>0</v>
      </c>
      <c r="U36" s="36">
        <f t="shared" si="10"/>
        <v>0</v>
      </c>
      <c r="V36" s="36">
        <f t="shared" si="10"/>
        <v>0</v>
      </c>
      <c r="W36" s="36">
        <f t="shared" si="10"/>
        <v>0</v>
      </c>
      <c r="X36" s="36">
        <f t="shared" si="10"/>
        <v>0</v>
      </c>
      <c r="Y36" s="36">
        <f t="shared" si="10"/>
        <v>0</v>
      </c>
      <c r="Z36" s="36">
        <f t="shared" si="10"/>
        <v>0</v>
      </c>
      <c r="AA36" s="36">
        <f t="shared" si="10"/>
        <v>0</v>
      </c>
      <c r="AB36" s="36">
        <f t="shared" si="10"/>
        <v>0</v>
      </c>
      <c r="AC36" s="36">
        <f t="shared" si="10"/>
        <v>0</v>
      </c>
      <c r="AD36" s="36">
        <f t="shared" si="10"/>
        <v>0</v>
      </c>
      <c r="AE36" s="36">
        <f t="shared" si="10"/>
        <v>0</v>
      </c>
      <c r="AF36" s="36">
        <f t="shared" si="10"/>
        <v>0</v>
      </c>
      <c r="AG36" s="36">
        <f t="shared" si="10"/>
        <v>0</v>
      </c>
      <c r="AH36" s="36">
        <f t="shared" si="10"/>
        <v>0</v>
      </c>
      <c r="AI36" s="36">
        <f t="shared" si="10"/>
        <v>0</v>
      </c>
      <c r="AJ36" s="36">
        <f t="shared" si="10"/>
        <v>0</v>
      </c>
      <c r="AK36" s="36">
        <f t="shared" si="10"/>
        <v>0</v>
      </c>
      <c r="AL36" s="36">
        <f t="shared" si="10"/>
        <v>0</v>
      </c>
      <c r="AM36" s="36">
        <f t="shared" si="10"/>
        <v>0</v>
      </c>
      <c r="AN36" s="36">
        <f t="shared" si="10"/>
        <v>0</v>
      </c>
      <c r="AO36" s="36">
        <f t="shared" si="10"/>
        <v>0</v>
      </c>
      <c r="AP36" s="36">
        <f t="shared" si="10"/>
        <v>0</v>
      </c>
      <c r="AQ36" s="36">
        <f t="shared" si="10"/>
        <v>0</v>
      </c>
      <c r="AR36" s="36">
        <f t="shared" si="10"/>
        <v>0</v>
      </c>
      <c r="AS36" s="36">
        <f t="shared" si="10"/>
        <v>0</v>
      </c>
      <c r="AT36" s="36">
        <f t="shared" si="10"/>
        <v>0</v>
      </c>
      <c r="AU36" s="36">
        <f t="shared" si="10"/>
        <v>0</v>
      </c>
      <c r="AV36" s="36">
        <f t="shared" si="10"/>
        <v>0</v>
      </c>
      <c r="AW36" s="36">
        <f t="shared" si="10"/>
        <v>0</v>
      </c>
      <c r="AX36" s="36">
        <f t="shared" si="10"/>
        <v>0</v>
      </c>
      <c r="AY36" s="36">
        <f t="shared" si="10"/>
        <v>0</v>
      </c>
      <c r="AZ36" s="36">
        <f t="shared" si="10"/>
        <v>0</v>
      </c>
      <c r="BA36" s="36">
        <f t="shared" si="10"/>
        <v>0</v>
      </c>
      <c r="BB36" s="36">
        <f t="shared" si="10"/>
        <v>0</v>
      </c>
      <c r="BC36" s="36">
        <f t="shared" si="10"/>
        <v>0</v>
      </c>
      <c r="BD36" s="36">
        <f t="shared" si="10"/>
        <v>0</v>
      </c>
      <c r="BE36" s="36">
        <f t="shared" si="10"/>
        <v>0</v>
      </c>
      <c r="BF36" s="36">
        <f t="shared" si="10"/>
        <v>0</v>
      </c>
      <c r="BG36" s="36">
        <f t="shared" si="10"/>
        <v>0</v>
      </c>
      <c r="BH36" s="36">
        <f t="shared" si="10"/>
        <v>0</v>
      </c>
      <c r="BI36" s="36">
        <f t="shared" si="10"/>
        <v>0</v>
      </c>
      <c r="BJ36" s="36">
        <f t="shared" si="10"/>
        <v>0</v>
      </c>
      <c r="BK36" s="36">
        <f t="shared" si="10"/>
        <v>0</v>
      </c>
      <c r="BL36" s="36">
        <f t="shared" si="10"/>
        <v>0</v>
      </c>
      <c r="BM36" s="36">
        <f t="shared" si="10"/>
        <v>0</v>
      </c>
      <c r="BN36" s="36">
        <f t="shared" si="10"/>
        <v>0</v>
      </c>
      <c r="BO36" s="36">
        <f t="shared" si="10"/>
        <v>0</v>
      </c>
      <c r="BP36" s="36">
        <f t="shared" si="10"/>
        <v>0</v>
      </c>
      <c r="BQ36" s="36">
        <f t="shared" ref="BQ36:EB36" si="11">BQ37+BQ38</f>
        <v>0</v>
      </c>
      <c r="BR36" s="36">
        <f t="shared" si="11"/>
        <v>0</v>
      </c>
      <c r="BS36" s="36">
        <f t="shared" si="11"/>
        <v>0</v>
      </c>
      <c r="BT36" s="36">
        <f t="shared" si="11"/>
        <v>0</v>
      </c>
      <c r="BU36" s="36">
        <f t="shared" si="11"/>
        <v>0</v>
      </c>
      <c r="BV36" s="36">
        <f t="shared" si="11"/>
        <v>0</v>
      </c>
      <c r="BW36" s="36">
        <f t="shared" si="11"/>
        <v>0</v>
      </c>
      <c r="BX36" s="36">
        <f t="shared" si="11"/>
        <v>0</v>
      </c>
      <c r="BY36" s="36">
        <f t="shared" si="11"/>
        <v>0</v>
      </c>
      <c r="BZ36" s="36">
        <f t="shared" si="11"/>
        <v>0</v>
      </c>
      <c r="CA36" s="36">
        <f t="shared" si="11"/>
        <v>0</v>
      </c>
      <c r="CB36" s="36">
        <f t="shared" si="11"/>
        <v>0</v>
      </c>
      <c r="CC36" s="36">
        <f t="shared" si="11"/>
        <v>0</v>
      </c>
      <c r="CD36" s="36">
        <f t="shared" si="11"/>
        <v>0</v>
      </c>
      <c r="CE36" s="36">
        <f t="shared" si="11"/>
        <v>0</v>
      </c>
      <c r="CF36" s="36">
        <f t="shared" si="11"/>
        <v>0</v>
      </c>
      <c r="CG36" s="36">
        <f t="shared" si="11"/>
        <v>4033.3</v>
      </c>
      <c r="CH36" s="36">
        <f t="shared" si="11"/>
        <v>0</v>
      </c>
      <c r="CI36" s="36">
        <f t="shared" si="11"/>
        <v>0</v>
      </c>
      <c r="CJ36" s="36">
        <f t="shared" si="11"/>
        <v>0</v>
      </c>
      <c r="CK36" s="36">
        <f t="shared" si="11"/>
        <v>0</v>
      </c>
      <c r="CL36" s="36">
        <f t="shared" si="11"/>
        <v>0</v>
      </c>
      <c r="CM36" s="36">
        <f t="shared" si="11"/>
        <v>0</v>
      </c>
      <c r="CN36" s="36">
        <f t="shared" si="11"/>
        <v>0</v>
      </c>
      <c r="CO36" s="36">
        <f t="shared" si="11"/>
        <v>0</v>
      </c>
      <c r="CP36" s="36">
        <f t="shared" si="11"/>
        <v>0</v>
      </c>
      <c r="CQ36" s="36">
        <f t="shared" si="11"/>
        <v>0</v>
      </c>
      <c r="CR36" s="36">
        <f t="shared" si="11"/>
        <v>0</v>
      </c>
      <c r="CS36" s="36">
        <f t="shared" si="11"/>
        <v>0</v>
      </c>
      <c r="CT36" s="36">
        <f t="shared" si="11"/>
        <v>0</v>
      </c>
      <c r="CU36" s="36">
        <f t="shared" si="11"/>
        <v>0</v>
      </c>
      <c r="CV36" s="36">
        <f t="shared" si="11"/>
        <v>0</v>
      </c>
      <c r="CW36" s="36">
        <f t="shared" si="11"/>
        <v>0</v>
      </c>
      <c r="CX36" s="36">
        <f t="shared" si="11"/>
        <v>0</v>
      </c>
      <c r="CY36" s="36">
        <f t="shared" si="11"/>
        <v>0</v>
      </c>
      <c r="CZ36" s="36">
        <f t="shared" si="11"/>
        <v>0</v>
      </c>
      <c r="DA36" s="36">
        <f t="shared" si="11"/>
        <v>0</v>
      </c>
      <c r="DB36" s="36">
        <f t="shared" si="11"/>
        <v>0</v>
      </c>
      <c r="DC36" s="36">
        <f t="shared" si="11"/>
        <v>0</v>
      </c>
      <c r="DD36" s="36">
        <f t="shared" si="11"/>
        <v>0</v>
      </c>
      <c r="DE36" s="36">
        <f t="shared" si="11"/>
        <v>0</v>
      </c>
      <c r="DF36" s="36">
        <f t="shared" si="11"/>
        <v>0</v>
      </c>
      <c r="DG36" s="36">
        <f t="shared" si="11"/>
        <v>0</v>
      </c>
      <c r="DH36" s="36">
        <f t="shared" si="11"/>
        <v>0</v>
      </c>
      <c r="DI36" s="36">
        <f t="shared" si="11"/>
        <v>0</v>
      </c>
      <c r="DJ36" s="36">
        <f t="shared" si="11"/>
        <v>0</v>
      </c>
      <c r="DK36" s="36">
        <f t="shared" si="11"/>
        <v>0</v>
      </c>
      <c r="DL36" s="36">
        <f t="shared" si="11"/>
        <v>0</v>
      </c>
      <c r="DM36" s="36">
        <f t="shared" si="11"/>
        <v>0</v>
      </c>
      <c r="DN36" s="36">
        <f t="shared" si="11"/>
        <v>0</v>
      </c>
      <c r="DO36" s="36">
        <f t="shared" si="11"/>
        <v>0</v>
      </c>
      <c r="DP36" s="36">
        <f t="shared" si="11"/>
        <v>0</v>
      </c>
      <c r="DQ36" s="36">
        <f t="shared" si="11"/>
        <v>0</v>
      </c>
      <c r="DR36" s="36">
        <f t="shared" si="11"/>
        <v>0</v>
      </c>
      <c r="DS36" s="36">
        <f t="shared" si="11"/>
        <v>0</v>
      </c>
      <c r="DT36" s="36">
        <f t="shared" si="11"/>
        <v>0</v>
      </c>
      <c r="DU36" s="36">
        <f t="shared" si="11"/>
        <v>0</v>
      </c>
      <c r="DV36" s="36">
        <f t="shared" si="11"/>
        <v>0</v>
      </c>
      <c r="DW36" s="36">
        <f t="shared" si="11"/>
        <v>0</v>
      </c>
      <c r="DX36" s="36">
        <f t="shared" si="11"/>
        <v>0</v>
      </c>
      <c r="DY36" s="36">
        <f t="shared" si="11"/>
        <v>0</v>
      </c>
      <c r="DZ36" s="36">
        <f t="shared" si="11"/>
        <v>0</v>
      </c>
      <c r="EA36" s="36">
        <f t="shared" si="11"/>
        <v>0</v>
      </c>
      <c r="EB36" s="36">
        <f t="shared" si="11"/>
        <v>0</v>
      </c>
      <c r="EC36" s="36">
        <f t="shared" ref="EC36:GE36" si="12">EC37+EC38</f>
        <v>0</v>
      </c>
      <c r="ED36" s="36">
        <f t="shared" si="12"/>
        <v>0</v>
      </c>
      <c r="EE36" s="36">
        <f t="shared" si="12"/>
        <v>0</v>
      </c>
      <c r="EF36" s="36">
        <f t="shared" si="12"/>
        <v>0</v>
      </c>
      <c r="EG36" s="36">
        <f t="shared" si="12"/>
        <v>0</v>
      </c>
      <c r="EH36" s="36">
        <f t="shared" si="12"/>
        <v>0</v>
      </c>
      <c r="EI36" s="36">
        <f t="shared" si="12"/>
        <v>0</v>
      </c>
      <c r="EJ36" s="36">
        <f t="shared" si="12"/>
        <v>0</v>
      </c>
      <c r="EK36" s="36">
        <f t="shared" si="12"/>
        <v>0</v>
      </c>
      <c r="EL36" s="36">
        <f t="shared" si="12"/>
        <v>0</v>
      </c>
      <c r="EM36" s="36">
        <f t="shared" si="12"/>
        <v>0</v>
      </c>
      <c r="EN36" s="36">
        <f t="shared" si="12"/>
        <v>0</v>
      </c>
      <c r="EO36" s="36">
        <f t="shared" si="12"/>
        <v>0</v>
      </c>
      <c r="EP36" s="36">
        <f t="shared" si="12"/>
        <v>0</v>
      </c>
      <c r="EQ36" s="36">
        <f t="shared" si="12"/>
        <v>211174.5</v>
      </c>
      <c r="ER36" s="36">
        <f t="shared" si="12"/>
        <v>0</v>
      </c>
      <c r="ES36" s="36">
        <f t="shared" si="12"/>
        <v>0</v>
      </c>
      <c r="ET36" s="36">
        <f t="shared" si="12"/>
        <v>0</v>
      </c>
      <c r="EU36" s="36">
        <f t="shared" si="12"/>
        <v>0</v>
      </c>
      <c r="EV36" s="36">
        <f t="shared" si="12"/>
        <v>0</v>
      </c>
      <c r="EW36" s="36">
        <f t="shared" si="12"/>
        <v>0</v>
      </c>
      <c r="EX36" s="36">
        <f t="shared" si="12"/>
        <v>0</v>
      </c>
      <c r="EY36" s="36">
        <f t="shared" si="12"/>
        <v>0</v>
      </c>
      <c r="EZ36" s="36">
        <f t="shared" si="12"/>
        <v>0</v>
      </c>
      <c r="FA36" s="36">
        <f t="shared" si="12"/>
        <v>0</v>
      </c>
      <c r="FB36" s="36">
        <f t="shared" si="12"/>
        <v>0</v>
      </c>
      <c r="FC36" s="36">
        <f t="shared" si="12"/>
        <v>0</v>
      </c>
      <c r="FD36" s="36">
        <f t="shared" si="12"/>
        <v>0</v>
      </c>
      <c r="FE36" s="36">
        <f t="shared" si="12"/>
        <v>0</v>
      </c>
      <c r="FF36" s="36">
        <f t="shared" si="12"/>
        <v>0</v>
      </c>
      <c r="FG36" s="36">
        <f t="shared" si="12"/>
        <v>0</v>
      </c>
      <c r="FH36" s="36">
        <f t="shared" si="12"/>
        <v>0</v>
      </c>
      <c r="FI36" s="36">
        <f t="shared" si="12"/>
        <v>0</v>
      </c>
      <c r="FJ36" s="36">
        <f t="shared" si="12"/>
        <v>0</v>
      </c>
      <c r="FK36" s="36">
        <f t="shared" si="12"/>
        <v>0</v>
      </c>
      <c r="FL36" s="36">
        <f t="shared" si="12"/>
        <v>0</v>
      </c>
      <c r="FM36" s="36">
        <f t="shared" si="12"/>
        <v>0</v>
      </c>
      <c r="FN36" s="36">
        <f t="shared" si="12"/>
        <v>0</v>
      </c>
      <c r="FO36" s="36">
        <f t="shared" si="12"/>
        <v>0</v>
      </c>
      <c r="FP36" s="36">
        <f t="shared" si="12"/>
        <v>0</v>
      </c>
      <c r="FQ36" s="36">
        <f t="shared" si="12"/>
        <v>0</v>
      </c>
      <c r="FR36" s="36">
        <f t="shared" si="12"/>
        <v>0</v>
      </c>
      <c r="FS36" s="38">
        <f t="shared" si="12"/>
        <v>6021491.5</v>
      </c>
      <c r="FT36" s="36">
        <f t="shared" si="12"/>
        <v>0</v>
      </c>
      <c r="FU36" s="36">
        <f t="shared" si="12"/>
        <v>262134.2</v>
      </c>
      <c r="FV36" s="36">
        <f t="shared" si="12"/>
        <v>0</v>
      </c>
      <c r="FW36" s="36">
        <f t="shared" si="12"/>
        <v>0</v>
      </c>
      <c r="FX36" s="36">
        <f t="shared" si="12"/>
        <v>0</v>
      </c>
      <c r="FY36" s="36">
        <f t="shared" si="12"/>
        <v>0</v>
      </c>
      <c r="FZ36" s="36">
        <f t="shared" si="12"/>
        <v>0</v>
      </c>
      <c r="GA36" s="36">
        <f t="shared" si="12"/>
        <v>0</v>
      </c>
      <c r="GB36" s="36">
        <f t="shared" si="12"/>
        <v>0</v>
      </c>
      <c r="GC36" s="36">
        <f t="shared" si="12"/>
        <v>0</v>
      </c>
      <c r="GD36" s="36">
        <f t="shared" si="12"/>
        <v>0</v>
      </c>
      <c r="GE36" s="36">
        <f t="shared" si="12"/>
        <v>0</v>
      </c>
    </row>
    <row r="37" spans="1:187" ht="13.5" thickBot="1" x14ac:dyDescent="0.25">
      <c r="A37" s="55" t="s">
        <v>57</v>
      </c>
      <c r="B37" s="56"/>
      <c r="C37" s="56">
        <f>SUM(D38:GE38)</f>
        <v>0</v>
      </c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>
        <v>21062246.199999999</v>
      </c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>
        <v>4033.3</v>
      </c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  <c r="DZ37" s="29"/>
      <c r="EA37" s="29"/>
      <c r="EB37" s="29"/>
      <c r="EC37" s="29"/>
      <c r="ED37" s="29"/>
      <c r="EE37" s="29"/>
      <c r="EF37" s="29"/>
      <c r="EG37" s="29"/>
      <c r="EH37" s="29"/>
      <c r="EI37" s="29"/>
      <c r="EJ37" s="29"/>
      <c r="EK37" s="29"/>
      <c r="EL37" s="29"/>
      <c r="EM37" s="29"/>
      <c r="EN37" s="29"/>
      <c r="EO37" s="29"/>
      <c r="EP37" s="29"/>
      <c r="EQ37" s="29">
        <v>211174.5</v>
      </c>
      <c r="ER37" s="29"/>
      <c r="ES37" s="29"/>
      <c r="ET37" s="29"/>
      <c r="EU37" s="29"/>
      <c r="EV37" s="29"/>
      <c r="EW37" s="29"/>
      <c r="EX37" s="29"/>
      <c r="EY37" s="29"/>
      <c r="EZ37" s="29"/>
      <c r="FA37" s="29"/>
      <c r="FB37" s="29"/>
      <c r="FC37" s="29"/>
      <c r="FD37" s="29"/>
      <c r="FE37" s="29"/>
      <c r="FF37" s="29"/>
      <c r="FG37" s="29"/>
      <c r="FH37" s="29"/>
      <c r="FI37" s="29"/>
      <c r="FJ37" s="29"/>
      <c r="FK37" s="29"/>
      <c r="FL37" s="29"/>
      <c r="FM37" s="29"/>
      <c r="FN37" s="29"/>
      <c r="FO37" s="29"/>
      <c r="FP37" s="29"/>
      <c r="FQ37" s="29"/>
      <c r="FR37" s="29"/>
      <c r="FS37" s="30">
        <v>6021491.5</v>
      </c>
      <c r="FT37" s="29"/>
      <c r="FU37" s="29">
        <v>262134.2</v>
      </c>
      <c r="FV37" s="29"/>
      <c r="FW37" s="29"/>
      <c r="FX37" s="29"/>
      <c r="FY37" s="29"/>
      <c r="FZ37" s="29"/>
      <c r="GA37" s="29"/>
      <c r="GB37" s="29"/>
      <c r="GC37" s="29"/>
      <c r="GD37" s="29"/>
      <c r="GE37" s="29"/>
    </row>
    <row r="38" spans="1:187" ht="30.75" thickBot="1" x14ac:dyDescent="0.25">
      <c r="A38" s="52" t="s">
        <v>58</v>
      </c>
      <c r="B38" s="61">
        <v>1.5</v>
      </c>
      <c r="C38" s="62">
        <f>C40+C41</f>
        <v>5894032.2999999998</v>
      </c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</row>
    <row r="39" spans="1:187" s="26" customFormat="1" ht="26.25" thickBot="1" x14ac:dyDescent="0.25">
      <c r="A39" s="55" t="s">
        <v>59</v>
      </c>
      <c r="B39" s="56"/>
      <c r="C39" s="56">
        <f>SUM(D40:GE40)</f>
        <v>0</v>
      </c>
      <c r="D39" s="39">
        <f>D40+D41</f>
        <v>0</v>
      </c>
      <c r="E39" s="39">
        <f t="shared" ref="E39:BP39" si="13">E40+E41</f>
        <v>0</v>
      </c>
      <c r="F39" s="39">
        <f t="shared" si="13"/>
        <v>0</v>
      </c>
      <c r="G39" s="39">
        <f t="shared" si="13"/>
        <v>0</v>
      </c>
      <c r="H39" s="39">
        <f t="shared" si="13"/>
        <v>0</v>
      </c>
      <c r="I39" s="39">
        <f t="shared" si="13"/>
        <v>0</v>
      </c>
      <c r="J39" s="39">
        <f t="shared" si="13"/>
        <v>0</v>
      </c>
      <c r="K39" s="39">
        <f t="shared" si="13"/>
        <v>0</v>
      </c>
      <c r="L39" s="39">
        <f t="shared" si="13"/>
        <v>0</v>
      </c>
      <c r="M39" s="39">
        <f t="shared" si="13"/>
        <v>0</v>
      </c>
      <c r="N39" s="39">
        <f t="shared" si="13"/>
        <v>0</v>
      </c>
      <c r="O39" s="39">
        <f t="shared" si="13"/>
        <v>0</v>
      </c>
      <c r="P39" s="39">
        <f t="shared" si="13"/>
        <v>0</v>
      </c>
      <c r="Q39" s="39">
        <f t="shared" si="13"/>
        <v>0</v>
      </c>
      <c r="R39" s="39">
        <f t="shared" si="13"/>
        <v>0</v>
      </c>
      <c r="S39" s="39">
        <f t="shared" si="13"/>
        <v>0</v>
      </c>
      <c r="T39" s="39">
        <f t="shared" si="13"/>
        <v>0</v>
      </c>
      <c r="U39" s="39">
        <f t="shared" si="13"/>
        <v>0</v>
      </c>
      <c r="V39" s="39">
        <f t="shared" si="13"/>
        <v>0</v>
      </c>
      <c r="W39" s="39">
        <f t="shared" si="13"/>
        <v>0</v>
      </c>
      <c r="X39" s="39">
        <f t="shared" si="13"/>
        <v>0</v>
      </c>
      <c r="Y39" s="39">
        <f t="shared" si="13"/>
        <v>0</v>
      </c>
      <c r="Z39" s="39">
        <f t="shared" si="13"/>
        <v>0</v>
      </c>
      <c r="AA39" s="39">
        <f t="shared" si="13"/>
        <v>0</v>
      </c>
      <c r="AB39" s="39">
        <f t="shared" si="13"/>
        <v>0</v>
      </c>
      <c r="AC39" s="39">
        <f t="shared" si="13"/>
        <v>0</v>
      </c>
      <c r="AD39" s="39">
        <f t="shared" si="13"/>
        <v>0</v>
      </c>
      <c r="AE39" s="39">
        <f t="shared" si="13"/>
        <v>0</v>
      </c>
      <c r="AF39" s="39">
        <f t="shared" si="13"/>
        <v>0</v>
      </c>
      <c r="AG39" s="39">
        <f t="shared" si="13"/>
        <v>0</v>
      </c>
      <c r="AH39" s="39">
        <f t="shared" si="13"/>
        <v>0</v>
      </c>
      <c r="AI39" s="39">
        <f t="shared" si="13"/>
        <v>0</v>
      </c>
      <c r="AJ39" s="39">
        <f t="shared" si="13"/>
        <v>0</v>
      </c>
      <c r="AK39" s="39">
        <f t="shared" si="13"/>
        <v>0</v>
      </c>
      <c r="AL39" s="39">
        <f t="shared" si="13"/>
        <v>0</v>
      </c>
      <c r="AM39" s="39">
        <f t="shared" si="13"/>
        <v>0</v>
      </c>
      <c r="AN39" s="39">
        <f t="shared" si="13"/>
        <v>0</v>
      </c>
      <c r="AO39" s="39">
        <f t="shared" si="13"/>
        <v>0</v>
      </c>
      <c r="AP39" s="39">
        <f t="shared" si="13"/>
        <v>0</v>
      </c>
      <c r="AQ39" s="39">
        <f t="shared" si="13"/>
        <v>0</v>
      </c>
      <c r="AR39" s="39">
        <f t="shared" si="13"/>
        <v>0</v>
      </c>
      <c r="AS39" s="39">
        <f t="shared" si="13"/>
        <v>0</v>
      </c>
      <c r="AT39" s="39">
        <f t="shared" si="13"/>
        <v>0</v>
      </c>
      <c r="AU39" s="39">
        <f t="shared" si="13"/>
        <v>0</v>
      </c>
      <c r="AV39" s="39">
        <f t="shared" si="13"/>
        <v>0</v>
      </c>
      <c r="AW39" s="39">
        <f t="shared" si="13"/>
        <v>0</v>
      </c>
      <c r="AX39" s="39">
        <f t="shared" si="13"/>
        <v>0</v>
      </c>
      <c r="AY39" s="39">
        <f t="shared" si="13"/>
        <v>0</v>
      </c>
      <c r="AZ39" s="39">
        <f t="shared" si="13"/>
        <v>0</v>
      </c>
      <c r="BA39" s="39">
        <f t="shared" si="13"/>
        <v>0</v>
      </c>
      <c r="BB39" s="39">
        <f t="shared" si="13"/>
        <v>0</v>
      </c>
      <c r="BC39" s="39">
        <f t="shared" si="13"/>
        <v>0</v>
      </c>
      <c r="BD39" s="39">
        <f t="shared" si="13"/>
        <v>0</v>
      </c>
      <c r="BE39" s="39">
        <f t="shared" si="13"/>
        <v>0</v>
      </c>
      <c r="BF39" s="39">
        <f t="shared" si="13"/>
        <v>0</v>
      </c>
      <c r="BG39" s="39">
        <f t="shared" si="13"/>
        <v>0</v>
      </c>
      <c r="BH39" s="39">
        <f t="shared" si="13"/>
        <v>0</v>
      </c>
      <c r="BI39" s="39">
        <f t="shared" si="13"/>
        <v>0</v>
      </c>
      <c r="BJ39" s="39">
        <f t="shared" si="13"/>
        <v>0</v>
      </c>
      <c r="BK39" s="39">
        <f t="shared" si="13"/>
        <v>0</v>
      </c>
      <c r="BL39" s="39">
        <f t="shared" si="13"/>
        <v>0</v>
      </c>
      <c r="BM39" s="39">
        <f t="shared" si="13"/>
        <v>0</v>
      </c>
      <c r="BN39" s="39">
        <f t="shared" si="13"/>
        <v>0</v>
      </c>
      <c r="BO39" s="39">
        <f t="shared" si="13"/>
        <v>0</v>
      </c>
      <c r="BP39" s="39">
        <f t="shared" si="13"/>
        <v>0</v>
      </c>
      <c r="BQ39" s="39">
        <f t="shared" ref="BQ39:EB39" si="14">BQ40+BQ41</f>
        <v>0</v>
      </c>
      <c r="BR39" s="39">
        <f t="shared" si="14"/>
        <v>0</v>
      </c>
      <c r="BS39" s="39">
        <f t="shared" si="14"/>
        <v>0</v>
      </c>
      <c r="BT39" s="39">
        <f t="shared" si="14"/>
        <v>0</v>
      </c>
      <c r="BU39" s="39">
        <f t="shared" si="14"/>
        <v>0</v>
      </c>
      <c r="BV39" s="39">
        <f t="shared" si="14"/>
        <v>0</v>
      </c>
      <c r="BW39" s="39">
        <f t="shared" si="14"/>
        <v>0</v>
      </c>
      <c r="BX39" s="39">
        <f t="shared" si="14"/>
        <v>0</v>
      </c>
      <c r="BY39" s="39">
        <f t="shared" si="14"/>
        <v>0</v>
      </c>
      <c r="BZ39" s="39">
        <f t="shared" si="14"/>
        <v>0</v>
      </c>
      <c r="CA39" s="39">
        <f t="shared" si="14"/>
        <v>0</v>
      </c>
      <c r="CB39" s="39">
        <f t="shared" si="14"/>
        <v>0</v>
      </c>
      <c r="CC39" s="39">
        <f t="shared" si="14"/>
        <v>0</v>
      </c>
      <c r="CD39" s="39">
        <f t="shared" si="14"/>
        <v>0</v>
      </c>
      <c r="CE39" s="39">
        <f t="shared" si="14"/>
        <v>0</v>
      </c>
      <c r="CF39" s="39">
        <f t="shared" si="14"/>
        <v>0</v>
      </c>
      <c r="CG39" s="39">
        <f t="shared" si="14"/>
        <v>0</v>
      </c>
      <c r="CH39" s="39">
        <f t="shared" si="14"/>
        <v>0</v>
      </c>
      <c r="CI39" s="39">
        <f t="shared" si="14"/>
        <v>0</v>
      </c>
      <c r="CJ39" s="39">
        <f t="shared" si="14"/>
        <v>0</v>
      </c>
      <c r="CK39" s="39">
        <f t="shared" si="14"/>
        <v>0</v>
      </c>
      <c r="CL39" s="39">
        <f t="shared" si="14"/>
        <v>0</v>
      </c>
      <c r="CM39" s="39">
        <f t="shared" si="14"/>
        <v>0</v>
      </c>
      <c r="CN39" s="39">
        <f t="shared" si="14"/>
        <v>0</v>
      </c>
      <c r="CO39" s="39">
        <f t="shared" si="14"/>
        <v>0</v>
      </c>
      <c r="CP39" s="39">
        <f t="shared" si="14"/>
        <v>0</v>
      </c>
      <c r="CQ39" s="39">
        <f t="shared" si="14"/>
        <v>0</v>
      </c>
      <c r="CR39" s="39">
        <f t="shared" si="14"/>
        <v>0</v>
      </c>
      <c r="CS39" s="39">
        <f t="shared" si="14"/>
        <v>0</v>
      </c>
      <c r="CT39" s="39">
        <f t="shared" si="14"/>
        <v>0</v>
      </c>
      <c r="CU39" s="39">
        <f t="shared" si="14"/>
        <v>0</v>
      </c>
      <c r="CV39" s="39">
        <f t="shared" si="14"/>
        <v>0</v>
      </c>
      <c r="CW39" s="39">
        <f t="shared" si="14"/>
        <v>0</v>
      </c>
      <c r="CX39" s="39">
        <f t="shared" si="14"/>
        <v>0</v>
      </c>
      <c r="CY39" s="39">
        <f t="shared" si="14"/>
        <v>0</v>
      </c>
      <c r="CZ39" s="39">
        <f t="shared" si="14"/>
        <v>0</v>
      </c>
      <c r="DA39" s="39">
        <f t="shared" si="14"/>
        <v>0</v>
      </c>
      <c r="DB39" s="39">
        <f t="shared" si="14"/>
        <v>0</v>
      </c>
      <c r="DC39" s="39">
        <f t="shared" si="14"/>
        <v>0</v>
      </c>
      <c r="DD39" s="39">
        <f t="shared" si="14"/>
        <v>0</v>
      </c>
      <c r="DE39" s="39">
        <f t="shared" si="14"/>
        <v>0</v>
      </c>
      <c r="DF39" s="39">
        <f t="shared" si="14"/>
        <v>0</v>
      </c>
      <c r="DG39" s="39">
        <f t="shared" si="14"/>
        <v>0</v>
      </c>
      <c r="DH39" s="39">
        <f t="shared" si="14"/>
        <v>0</v>
      </c>
      <c r="DI39" s="39">
        <f t="shared" si="14"/>
        <v>0</v>
      </c>
      <c r="DJ39" s="39">
        <f t="shared" si="14"/>
        <v>0</v>
      </c>
      <c r="DK39" s="39">
        <f t="shared" si="14"/>
        <v>0</v>
      </c>
      <c r="DL39" s="39">
        <f t="shared" si="14"/>
        <v>0</v>
      </c>
      <c r="DM39" s="39">
        <f t="shared" si="14"/>
        <v>0</v>
      </c>
      <c r="DN39" s="39">
        <f t="shared" si="14"/>
        <v>0</v>
      </c>
      <c r="DO39" s="39">
        <f t="shared" si="14"/>
        <v>0</v>
      </c>
      <c r="DP39" s="39">
        <f t="shared" si="14"/>
        <v>0</v>
      </c>
      <c r="DQ39" s="39">
        <f t="shared" si="14"/>
        <v>0</v>
      </c>
      <c r="DR39" s="39">
        <f t="shared" si="14"/>
        <v>0</v>
      </c>
      <c r="DS39" s="39">
        <f t="shared" si="14"/>
        <v>0</v>
      </c>
      <c r="DT39" s="39">
        <f t="shared" si="14"/>
        <v>0</v>
      </c>
      <c r="DU39" s="39">
        <f t="shared" si="14"/>
        <v>0</v>
      </c>
      <c r="DV39" s="39">
        <f t="shared" si="14"/>
        <v>0</v>
      </c>
      <c r="DW39" s="39">
        <f t="shared" si="14"/>
        <v>0</v>
      </c>
      <c r="DX39" s="39">
        <f t="shared" si="14"/>
        <v>0</v>
      </c>
      <c r="DY39" s="39">
        <f t="shared" si="14"/>
        <v>0</v>
      </c>
      <c r="DZ39" s="39">
        <f t="shared" si="14"/>
        <v>0</v>
      </c>
      <c r="EA39" s="39">
        <f t="shared" si="14"/>
        <v>0</v>
      </c>
      <c r="EB39" s="39">
        <f t="shared" si="14"/>
        <v>0</v>
      </c>
      <c r="EC39" s="39">
        <f t="shared" ref="EC39:GE39" si="15">EC40+EC41</f>
        <v>0</v>
      </c>
      <c r="ED39" s="39">
        <f t="shared" si="15"/>
        <v>0</v>
      </c>
      <c r="EE39" s="39">
        <f t="shared" si="15"/>
        <v>0</v>
      </c>
      <c r="EF39" s="39">
        <f t="shared" si="15"/>
        <v>0</v>
      </c>
      <c r="EG39" s="39">
        <f t="shared" si="15"/>
        <v>0</v>
      </c>
      <c r="EH39" s="39">
        <f t="shared" si="15"/>
        <v>0</v>
      </c>
      <c r="EI39" s="39">
        <f t="shared" si="15"/>
        <v>0</v>
      </c>
      <c r="EJ39" s="39">
        <f t="shared" si="15"/>
        <v>0</v>
      </c>
      <c r="EK39" s="39">
        <f t="shared" si="15"/>
        <v>0</v>
      </c>
      <c r="EL39" s="39">
        <f t="shared" si="15"/>
        <v>0</v>
      </c>
      <c r="EM39" s="39">
        <f t="shared" si="15"/>
        <v>0</v>
      </c>
      <c r="EN39" s="39">
        <f t="shared" si="15"/>
        <v>0</v>
      </c>
      <c r="EO39" s="39">
        <f t="shared" si="15"/>
        <v>0</v>
      </c>
      <c r="EP39" s="39">
        <f t="shared" si="15"/>
        <v>0</v>
      </c>
      <c r="EQ39" s="39">
        <f t="shared" si="15"/>
        <v>0</v>
      </c>
      <c r="ER39" s="39">
        <f t="shared" si="15"/>
        <v>0</v>
      </c>
      <c r="ES39" s="39">
        <f t="shared" si="15"/>
        <v>0</v>
      </c>
      <c r="ET39" s="39">
        <f t="shared" si="15"/>
        <v>0</v>
      </c>
      <c r="EU39" s="39">
        <f t="shared" si="15"/>
        <v>0</v>
      </c>
      <c r="EV39" s="39">
        <f t="shared" si="15"/>
        <v>0</v>
      </c>
      <c r="EW39" s="39">
        <f t="shared" si="15"/>
        <v>0</v>
      </c>
      <c r="EX39" s="39">
        <f t="shared" si="15"/>
        <v>0</v>
      </c>
      <c r="EY39" s="39">
        <f t="shared" si="15"/>
        <v>0</v>
      </c>
      <c r="EZ39" s="39">
        <f t="shared" si="15"/>
        <v>0</v>
      </c>
      <c r="FA39" s="39">
        <f t="shared" si="15"/>
        <v>0</v>
      </c>
      <c r="FB39" s="39">
        <f t="shared" si="15"/>
        <v>0</v>
      </c>
      <c r="FC39" s="39">
        <f t="shared" si="15"/>
        <v>0</v>
      </c>
      <c r="FD39" s="39">
        <f t="shared" si="15"/>
        <v>0</v>
      </c>
      <c r="FE39" s="39">
        <f t="shared" si="15"/>
        <v>0</v>
      </c>
      <c r="FF39" s="39">
        <f t="shared" si="15"/>
        <v>0</v>
      </c>
      <c r="FG39" s="39">
        <f t="shared" si="15"/>
        <v>0</v>
      </c>
      <c r="FH39" s="39">
        <f t="shared" si="15"/>
        <v>0</v>
      </c>
      <c r="FI39" s="39">
        <f t="shared" si="15"/>
        <v>0</v>
      </c>
      <c r="FJ39" s="39">
        <f t="shared" si="15"/>
        <v>0</v>
      </c>
      <c r="FK39" s="39">
        <f t="shared" si="15"/>
        <v>0</v>
      </c>
      <c r="FL39" s="39">
        <f t="shared" si="15"/>
        <v>0</v>
      </c>
      <c r="FM39" s="39">
        <f t="shared" si="15"/>
        <v>0</v>
      </c>
      <c r="FN39" s="39">
        <f t="shared" si="15"/>
        <v>0</v>
      </c>
      <c r="FO39" s="39">
        <f t="shared" si="15"/>
        <v>0</v>
      </c>
      <c r="FP39" s="39">
        <f t="shared" si="15"/>
        <v>0</v>
      </c>
      <c r="FQ39" s="39">
        <f t="shared" si="15"/>
        <v>0</v>
      </c>
      <c r="FR39" s="39">
        <f t="shared" si="15"/>
        <v>0</v>
      </c>
      <c r="FS39" s="39">
        <f t="shared" si="15"/>
        <v>0</v>
      </c>
      <c r="FT39" s="39">
        <f t="shared" si="15"/>
        <v>0</v>
      </c>
      <c r="FU39" s="39">
        <f t="shared" si="15"/>
        <v>0</v>
      </c>
      <c r="FV39" s="39">
        <f t="shared" si="15"/>
        <v>0</v>
      </c>
      <c r="FW39" s="39">
        <f t="shared" si="15"/>
        <v>0</v>
      </c>
      <c r="FX39" s="39">
        <f t="shared" si="15"/>
        <v>0</v>
      </c>
      <c r="FY39" s="39">
        <f t="shared" si="15"/>
        <v>0</v>
      </c>
      <c r="FZ39" s="39">
        <f t="shared" si="15"/>
        <v>0</v>
      </c>
      <c r="GA39" s="39">
        <f t="shared" si="15"/>
        <v>0</v>
      </c>
      <c r="GB39" s="39">
        <f t="shared" si="15"/>
        <v>0</v>
      </c>
      <c r="GC39" s="39">
        <f t="shared" si="15"/>
        <v>0</v>
      </c>
      <c r="GD39" s="39">
        <f t="shared" si="15"/>
        <v>0</v>
      </c>
      <c r="GE39" s="39">
        <f t="shared" si="15"/>
        <v>0</v>
      </c>
    </row>
    <row r="40" spans="1:187" ht="13.5" thickBot="1" x14ac:dyDescent="0.25">
      <c r="A40" s="55" t="s">
        <v>60</v>
      </c>
      <c r="B40" s="56"/>
      <c r="C40" s="56">
        <f>SUM(D41:EJ41)</f>
        <v>0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35"/>
      <c r="FO40" s="35"/>
      <c r="FP40" s="35"/>
      <c r="FQ40" s="35"/>
      <c r="FR40" s="35"/>
      <c r="FS40" s="35"/>
      <c r="FT40" s="35"/>
      <c r="FU40" s="35"/>
      <c r="FV40" s="35"/>
      <c r="FW40" s="35"/>
      <c r="FX40" s="35"/>
      <c r="FY40" s="35"/>
      <c r="FZ40" s="35"/>
      <c r="GA40" s="35"/>
      <c r="GB40" s="35"/>
      <c r="GC40" s="35"/>
      <c r="GD40" s="35"/>
      <c r="GE40" s="35"/>
    </row>
    <row r="41" spans="1:187" ht="15.75" thickBot="1" x14ac:dyDescent="0.25">
      <c r="A41" s="52" t="s">
        <v>61</v>
      </c>
      <c r="B41" s="61">
        <v>1.6</v>
      </c>
      <c r="C41" s="63">
        <f>C43+C44+C45+C46+C47</f>
        <v>5894032.2999999998</v>
      </c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5"/>
      <c r="FY41" s="35"/>
      <c r="FZ41" s="35"/>
      <c r="GA41" s="35"/>
      <c r="GB41" s="35"/>
      <c r="GC41" s="35"/>
      <c r="GD41" s="35"/>
      <c r="GE41" s="35"/>
    </row>
    <row r="42" spans="1:187" s="26" customFormat="1" ht="13.5" thickBot="1" x14ac:dyDescent="0.25">
      <c r="A42" s="55" t="s">
        <v>62</v>
      </c>
      <c r="B42" s="56"/>
      <c r="C42" s="56">
        <f>SUM(D43:GE43)</f>
        <v>0</v>
      </c>
      <c r="D42" s="40">
        <f>D43+D44+D45+D46+D47</f>
        <v>0</v>
      </c>
      <c r="E42" s="40">
        <f t="shared" ref="E42:BP42" si="16">E43+E44+E45+E46+E47</f>
        <v>0</v>
      </c>
      <c r="F42" s="40">
        <f t="shared" si="16"/>
        <v>0</v>
      </c>
      <c r="G42" s="40">
        <f t="shared" si="16"/>
        <v>0</v>
      </c>
      <c r="H42" s="40">
        <f t="shared" si="16"/>
        <v>0</v>
      </c>
      <c r="I42" s="40">
        <f t="shared" si="16"/>
        <v>0</v>
      </c>
      <c r="J42" s="40">
        <f t="shared" si="16"/>
        <v>1705.6</v>
      </c>
      <c r="K42" s="40">
        <f t="shared" si="16"/>
        <v>0</v>
      </c>
      <c r="L42" s="40">
        <f t="shared" si="16"/>
        <v>0</v>
      </c>
      <c r="M42" s="40">
        <f t="shared" si="16"/>
        <v>0</v>
      </c>
      <c r="N42" s="40">
        <f t="shared" si="16"/>
        <v>0</v>
      </c>
      <c r="O42" s="40">
        <f t="shared" si="16"/>
        <v>0</v>
      </c>
      <c r="P42" s="40">
        <f t="shared" si="16"/>
        <v>500</v>
      </c>
      <c r="Q42" s="40">
        <f t="shared" si="16"/>
        <v>0</v>
      </c>
      <c r="R42" s="40">
        <f t="shared" si="16"/>
        <v>0</v>
      </c>
      <c r="S42" s="40">
        <f t="shared" si="16"/>
        <v>0</v>
      </c>
      <c r="T42" s="40">
        <f t="shared" si="16"/>
        <v>0</v>
      </c>
      <c r="U42" s="40">
        <f t="shared" si="16"/>
        <v>0</v>
      </c>
      <c r="V42" s="40">
        <f t="shared" si="16"/>
        <v>436000</v>
      </c>
      <c r="W42" s="40">
        <f t="shared" si="16"/>
        <v>0</v>
      </c>
      <c r="X42" s="40">
        <f t="shared" si="16"/>
        <v>0</v>
      </c>
      <c r="Y42" s="40">
        <f t="shared" si="16"/>
        <v>0</v>
      </c>
      <c r="Z42" s="40">
        <f t="shared" si="16"/>
        <v>0</v>
      </c>
      <c r="AA42" s="40">
        <f t="shared" si="16"/>
        <v>0</v>
      </c>
      <c r="AB42" s="40">
        <f t="shared" si="16"/>
        <v>0</v>
      </c>
      <c r="AC42" s="40">
        <f t="shared" si="16"/>
        <v>0</v>
      </c>
      <c r="AD42" s="40">
        <f t="shared" si="16"/>
        <v>0</v>
      </c>
      <c r="AE42" s="40">
        <f t="shared" si="16"/>
        <v>0</v>
      </c>
      <c r="AF42" s="40">
        <f t="shared" si="16"/>
        <v>0</v>
      </c>
      <c r="AG42" s="40">
        <f t="shared" si="16"/>
        <v>0</v>
      </c>
      <c r="AH42" s="40">
        <f t="shared" si="16"/>
        <v>0</v>
      </c>
      <c r="AI42" s="40">
        <f t="shared" si="16"/>
        <v>0</v>
      </c>
      <c r="AJ42" s="40">
        <f t="shared" si="16"/>
        <v>0</v>
      </c>
      <c r="AK42" s="40">
        <f t="shared" si="16"/>
        <v>500</v>
      </c>
      <c r="AL42" s="40">
        <f t="shared" si="16"/>
        <v>0</v>
      </c>
      <c r="AM42" s="40">
        <f t="shared" si="16"/>
        <v>0</v>
      </c>
      <c r="AN42" s="40">
        <f t="shared" si="16"/>
        <v>0</v>
      </c>
      <c r="AO42" s="40">
        <f t="shared" si="16"/>
        <v>0</v>
      </c>
      <c r="AP42" s="40">
        <f t="shared" si="16"/>
        <v>180</v>
      </c>
      <c r="AQ42" s="40">
        <f t="shared" si="16"/>
        <v>0</v>
      </c>
      <c r="AR42" s="40">
        <f t="shared" si="16"/>
        <v>0</v>
      </c>
      <c r="AS42" s="40">
        <f t="shared" si="16"/>
        <v>0</v>
      </c>
      <c r="AT42" s="40">
        <f t="shared" si="16"/>
        <v>0</v>
      </c>
      <c r="AU42" s="40">
        <f t="shared" si="16"/>
        <v>0</v>
      </c>
      <c r="AV42" s="40">
        <f t="shared" si="16"/>
        <v>0</v>
      </c>
      <c r="AW42" s="40">
        <f t="shared" si="16"/>
        <v>0</v>
      </c>
      <c r="AX42" s="40">
        <f t="shared" si="16"/>
        <v>0</v>
      </c>
      <c r="AY42" s="40">
        <f t="shared" si="16"/>
        <v>0</v>
      </c>
      <c r="AZ42" s="40">
        <f t="shared" si="16"/>
        <v>0</v>
      </c>
      <c r="BA42" s="40">
        <f t="shared" si="16"/>
        <v>0</v>
      </c>
      <c r="BB42" s="40">
        <f t="shared" si="16"/>
        <v>0</v>
      </c>
      <c r="BC42" s="40">
        <f t="shared" si="16"/>
        <v>0</v>
      </c>
      <c r="BD42" s="40">
        <f t="shared" si="16"/>
        <v>0</v>
      </c>
      <c r="BE42" s="40">
        <f t="shared" si="16"/>
        <v>0</v>
      </c>
      <c r="BF42" s="40">
        <f t="shared" si="16"/>
        <v>0</v>
      </c>
      <c r="BG42" s="40">
        <f t="shared" si="16"/>
        <v>0</v>
      </c>
      <c r="BH42" s="40">
        <f t="shared" si="16"/>
        <v>0</v>
      </c>
      <c r="BI42" s="40">
        <f t="shared" si="16"/>
        <v>0</v>
      </c>
      <c r="BJ42" s="40">
        <f t="shared" si="16"/>
        <v>0</v>
      </c>
      <c r="BK42" s="40">
        <f t="shared" si="16"/>
        <v>0</v>
      </c>
      <c r="BL42" s="40">
        <f t="shared" si="16"/>
        <v>0</v>
      </c>
      <c r="BM42" s="40">
        <f t="shared" si="16"/>
        <v>0</v>
      </c>
      <c r="BN42" s="40">
        <f t="shared" si="16"/>
        <v>0</v>
      </c>
      <c r="BO42" s="40">
        <f t="shared" si="16"/>
        <v>0</v>
      </c>
      <c r="BP42" s="40">
        <f t="shared" si="16"/>
        <v>0</v>
      </c>
      <c r="BQ42" s="40">
        <f t="shared" ref="BQ42:EB42" si="17">BQ43+BQ44+BQ45+BQ46+BQ47</f>
        <v>0</v>
      </c>
      <c r="BR42" s="40">
        <f t="shared" si="17"/>
        <v>0</v>
      </c>
      <c r="BS42" s="40">
        <f t="shared" si="17"/>
        <v>0</v>
      </c>
      <c r="BT42" s="40">
        <f t="shared" si="17"/>
        <v>0</v>
      </c>
      <c r="BU42" s="40">
        <f t="shared" si="17"/>
        <v>0</v>
      </c>
      <c r="BV42" s="40">
        <f t="shared" si="17"/>
        <v>0</v>
      </c>
      <c r="BW42" s="40">
        <f t="shared" si="17"/>
        <v>0</v>
      </c>
      <c r="BX42" s="40">
        <f t="shared" si="17"/>
        <v>0</v>
      </c>
      <c r="BY42" s="40">
        <f t="shared" si="17"/>
        <v>0</v>
      </c>
      <c r="BZ42" s="40">
        <f t="shared" si="17"/>
        <v>0</v>
      </c>
      <c r="CA42" s="40">
        <f t="shared" si="17"/>
        <v>0</v>
      </c>
      <c r="CB42" s="40">
        <f t="shared" si="17"/>
        <v>0</v>
      </c>
      <c r="CC42" s="40">
        <f t="shared" si="17"/>
        <v>0</v>
      </c>
      <c r="CD42" s="40">
        <f t="shared" si="17"/>
        <v>0</v>
      </c>
      <c r="CE42" s="40">
        <f t="shared" si="17"/>
        <v>3000</v>
      </c>
      <c r="CF42" s="40">
        <f t="shared" si="17"/>
        <v>0</v>
      </c>
      <c r="CG42" s="40">
        <f t="shared" si="17"/>
        <v>0</v>
      </c>
      <c r="CH42" s="40">
        <f t="shared" si="17"/>
        <v>0</v>
      </c>
      <c r="CI42" s="40">
        <f t="shared" si="17"/>
        <v>46000</v>
      </c>
      <c r="CJ42" s="40">
        <f t="shared" si="17"/>
        <v>0</v>
      </c>
      <c r="CK42" s="40">
        <f t="shared" si="17"/>
        <v>0</v>
      </c>
      <c r="CL42" s="40">
        <f t="shared" si="17"/>
        <v>0</v>
      </c>
      <c r="CM42" s="40">
        <f t="shared" si="17"/>
        <v>17100</v>
      </c>
      <c r="CN42" s="40">
        <f t="shared" si="17"/>
        <v>0</v>
      </c>
      <c r="CO42" s="40">
        <f t="shared" si="17"/>
        <v>0</v>
      </c>
      <c r="CP42" s="40">
        <f t="shared" si="17"/>
        <v>0</v>
      </c>
      <c r="CQ42" s="40">
        <f t="shared" si="17"/>
        <v>0</v>
      </c>
      <c r="CR42" s="40">
        <f t="shared" si="17"/>
        <v>0</v>
      </c>
      <c r="CS42" s="40">
        <f t="shared" si="17"/>
        <v>0</v>
      </c>
      <c r="CT42" s="40">
        <f t="shared" si="17"/>
        <v>0</v>
      </c>
      <c r="CU42" s="40">
        <f t="shared" si="17"/>
        <v>0</v>
      </c>
      <c r="CV42" s="40">
        <f t="shared" si="17"/>
        <v>0</v>
      </c>
      <c r="CW42" s="40">
        <f t="shared" si="17"/>
        <v>0</v>
      </c>
      <c r="CX42" s="40">
        <f t="shared" si="17"/>
        <v>0</v>
      </c>
      <c r="CY42" s="40">
        <f t="shared" si="17"/>
        <v>0</v>
      </c>
      <c r="CZ42" s="40">
        <f t="shared" si="17"/>
        <v>0</v>
      </c>
      <c r="DA42" s="40">
        <f t="shared" si="17"/>
        <v>0</v>
      </c>
      <c r="DB42" s="40">
        <f t="shared" si="17"/>
        <v>0</v>
      </c>
      <c r="DC42" s="40">
        <f t="shared" si="17"/>
        <v>0</v>
      </c>
      <c r="DD42" s="40">
        <f t="shared" si="17"/>
        <v>0</v>
      </c>
      <c r="DE42" s="40">
        <f t="shared" si="17"/>
        <v>0</v>
      </c>
      <c r="DF42" s="40">
        <f t="shared" si="17"/>
        <v>0</v>
      </c>
      <c r="DG42" s="40">
        <f t="shared" si="17"/>
        <v>0</v>
      </c>
      <c r="DH42" s="40">
        <f t="shared" si="17"/>
        <v>0</v>
      </c>
      <c r="DI42" s="40">
        <f t="shared" si="17"/>
        <v>700</v>
      </c>
      <c r="DJ42" s="40">
        <f t="shared" si="17"/>
        <v>0</v>
      </c>
      <c r="DK42" s="40">
        <f t="shared" si="17"/>
        <v>0</v>
      </c>
      <c r="DL42" s="40">
        <f t="shared" si="17"/>
        <v>0</v>
      </c>
      <c r="DM42" s="40">
        <f t="shared" si="17"/>
        <v>0</v>
      </c>
      <c r="DN42" s="40">
        <f t="shared" si="17"/>
        <v>0</v>
      </c>
      <c r="DO42" s="40">
        <f t="shared" si="17"/>
        <v>300</v>
      </c>
      <c r="DP42" s="40">
        <f t="shared" si="17"/>
        <v>0</v>
      </c>
      <c r="DQ42" s="40">
        <f t="shared" si="17"/>
        <v>2800</v>
      </c>
      <c r="DR42" s="40">
        <f t="shared" si="17"/>
        <v>0</v>
      </c>
      <c r="DS42" s="40">
        <f t="shared" si="17"/>
        <v>0</v>
      </c>
      <c r="DT42" s="40">
        <f t="shared" si="17"/>
        <v>0</v>
      </c>
      <c r="DU42" s="40">
        <f t="shared" si="17"/>
        <v>0</v>
      </c>
      <c r="DV42" s="40">
        <f t="shared" si="17"/>
        <v>0</v>
      </c>
      <c r="DW42" s="40">
        <f t="shared" si="17"/>
        <v>0</v>
      </c>
      <c r="DX42" s="40">
        <f t="shared" si="17"/>
        <v>0</v>
      </c>
      <c r="DY42" s="40">
        <f t="shared" si="17"/>
        <v>0</v>
      </c>
      <c r="DZ42" s="40">
        <f t="shared" si="17"/>
        <v>0</v>
      </c>
      <c r="EA42" s="40">
        <f t="shared" si="17"/>
        <v>0</v>
      </c>
      <c r="EB42" s="40">
        <f t="shared" si="17"/>
        <v>0</v>
      </c>
      <c r="EC42" s="40">
        <f t="shared" ref="EC42:GE42" si="18">EC43+EC44+EC45+EC46+EC47</f>
        <v>0</v>
      </c>
      <c r="ED42" s="40">
        <f t="shared" si="18"/>
        <v>0</v>
      </c>
      <c r="EE42" s="40">
        <f t="shared" si="18"/>
        <v>0</v>
      </c>
      <c r="EF42" s="40">
        <f t="shared" si="18"/>
        <v>0</v>
      </c>
      <c r="EG42" s="40">
        <f t="shared" si="18"/>
        <v>0</v>
      </c>
      <c r="EH42" s="40">
        <f t="shared" si="18"/>
        <v>0</v>
      </c>
      <c r="EI42" s="40">
        <f t="shared" si="18"/>
        <v>0</v>
      </c>
      <c r="EJ42" s="40">
        <f t="shared" si="18"/>
        <v>0</v>
      </c>
      <c r="EK42" s="40">
        <f t="shared" si="18"/>
        <v>0</v>
      </c>
      <c r="EL42" s="40">
        <f t="shared" si="18"/>
        <v>0</v>
      </c>
      <c r="EM42" s="40">
        <f t="shared" si="18"/>
        <v>0</v>
      </c>
      <c r="EN42" s="40">
        <f t="shared" si="18"/>
        <v>0</v>
      </c>
      <c r="EO42" s="40">
        <f t="shared" si="18"/>
        <v>0</v>
      </c>
      <c r="EP42" s="40">
        <f t="shared" si="18"/>
        <v>0</v>
      </c>
      <c r="EQ42" s="40">
        <f t="shared" si="18"/>
        <v>0</v>
      </c>
      <c r="ER42" s="40">
        <f t="shared" si="18"/>
        <v>0</v>
      </c>
      <c r="ES42" s="40">
        <f t="shared" si="18"/>
        <v>0</v>
      </c>
      <c r="ET42" s="40">
        <f t="shared" si="18"/>
        <v>0</v>
      </c>
      <c r="EU42" s="40">
        <f t="shared" si="18"/>
        <v>0</v>
      </c>
      <c r="EV42" s="40">
        <f t="shared" si="18"/>
        <v>0</v>
      </c>
      <c r="EW42" s="40">
        <f t="shared" si="18"/>
        <v>0</v>
      </c>
      <c r="EX42" s="40">
        <f t="shared" si="18"/>
        <v>19000</v>
      </c>
      <c r="EY42" s="40">
        <f t="shared" si="18"/>
        <v>0</v>
      </c>
      <c r="EZ42" s="40">
        <f t="shared" si="18"/>
        <v>0</v>
      </c>
      <c r="FA42" s="40">
        <f t="shared" si="18"/>
        <v>0</v>
      </c>
      <c r="FB42" s="40">
        <f t="shared" si="18"/>
        <v>0</v>
      </c>
      <c r="FC42" s="40">
        <f t="shared" si="18"/>
        <v>0</v>
      </c>
      <c r="FD42" s="40">
        <f t="shared" si="18"/>
        <v>9424.7000000000007</v>
      </c>
      <c r="FE42" s="40">
        <f t="shared" si="18"/>
        <v>0</v>
      </c>
      <c r="FF42" s="40">
        <f t="shared" si="18"/>
        <v>0</v>
      </c>
      <c r="FG42" s="40">
        <f t="shared" si="18"/>
        <v>0</v>
      </c>
      <c r="FH42" s="40">
        <f t="shared" si="18"/>
        <v>0</v>
      </c>
      <c r="FI42" s="40">
        <f t="shared" si="18"/>
        <v>0</v>
      </c>
      <c r="FJ42" s="40">
        <f t="shared" si="18"/>
        <v>0</v>
      </c>
      <c r="FK42" s="40">
        <f t="shared" si="18"/>
        <v>0</v>
      </c>
      <c r="FL42" s="40">
        <f t="shared" si="18"/>
        <v>0</v>
      </c>
      <c r="FM42" s="40">
        <f t="shared" si="18"/>
        <v>0</v>
      </c>
      <c r="FN42" s="40">
        <f t="shared" si="18"/>
        <v>0</v>
      </c>
      <c r="FO42" s="40">
        <f t="shared" si="18"/>
        <v>0</v>
      </c>
      <c r="FP42" s="40">
        <f t="shared" si="18"/>
        <v>0</v>
      </c>
      <c r="FQ42" s="40">
        <f t="shared" si="18"/>
        <v>0</v>
      </c>
      <c r="FR42" s="40">
        <f t="shared" si="18"/>
        <v>0</v>
      </c>
      <c r="FS42" s="41">
        <f t="shared" si="18"/>
        <v>520700</v>
      </c>
      <c r="FT42" s="40">
        <f t="shared" si="18"/>
        <v>0</v>
      </c>
      <c r="FU42" s="40">
        <f t="shared" si="18"/>
        <v>0</v>
      </c>
      <c r="FV42" s="40">
        <f t="shared" si="18"/>
        <v>0</v>
      </c>
      <c r="FW42" s="40">
        <f t="shared" si="18"/>
        <v>0</v>
      </c>
      <c r="FX42" s="40">
        <f t="shared" si="18"/>
        <v>0</v>
      </c>
      <c r="FY42" s="40">
        <f t="shared" si="18"/>
        <v>0</v>
      </c>
      <c r="FZ42" s="40">
        <f t="shared" si="18"/>
        <v>0</v>
      </c>
      <c r="GA42" s="40">
        <f t="shared" si="18"/>
        <v>0</v>
      </c>
      <c r="GB42" s="40">
        <f t="shared" si="18"/>
        <v>0</v>
      </c>
      <c r="GC42" s="40">
        <f t="shared" si="18"/>
        <v>0</v>
      </c>
      <c r="GD42" s="40">
        <f t="shared" si="18"/>
        <v>0</v>
      </c>
      <c r="GE42" s="40">
        <f t="shared" si="18"/>
        <v>0</v>
      </c>
    </row>
    <row r="43" spans="1:187" ht="13.5" thickBot="1" x14ac:dyDescent="0.25">
      <c r="A43" s="55" t="s">
        <v>63</v>
      </c>
      <c r="B43" s="56"/>
      <c r="C43" s="56">
        <f>SUM(D44:GE44)</f>
        <v>402924.7</v>
      </c>
      <c r="D43" s="28">
        <f t="shared" ref="D43:J43" si="19">SUM(E43:GF43)</f>
        <v>0</v>
      </c>
      <c r="E43" s="28">
        <f t="shared" si="19"/>
        <v>0</v>
      </c>
      <c r="F43" s="28">
        <f t="shared" si="19"/>
        <v>0</v>
      </c>
      <c r="G43" s="28">
        <f t="shared" si="19"/>
        <v>0</v>
      </c>
      <c r="H43" s="28">
        <f t="shared" si="19"/>
        <v>0</v>
      </c>
      <c r="I43" s="28">
        <f t="shared" si="19"/>
        <v>0</v>
      </c>
      <c r="J43" s="28">
        <f t="shared" si="19"/>
        <v>0</v>
      </c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  <c r="FP43" s="35"/>
      <c r="FQ43" s="35"/>
      <c r="FR43" s="35"/>
      <c r="FS43" s="42"/>
      <c r="FT43" s="35"/>
      <c r="FU43" s="35"/>
      <c r="FV43" s="35"/>
      <c r="FW43" s="35"/>
      <c r="FX43" s="35"/>
      <c r="FY43" s="35"/>
      <c r="FZ43" s="35"/>
      <c r="GA43" s="35"/>
      <c r="GB43" s="35"/>
      <c r="GC43" s="35"/>
      <c r="GD43" s="35"/>
      <c r="GE43" s="35"/>
    </row>
    <row r="44" spans="1:187" ht="13.5" thickBot="1" x14ac:dyDescent="0.25">
      <c r="A44" s="55" t="s">
        <v>64</v>
      </c>
      <c r="B44" s="56"/>
      <c r="C44" s="56">
        <f>SUM(D45:GE45)</f>
        <v>654985.6</v>
      </c>
      <c r="D44" s="35"/>
      <c r="E44" s="35"/>
      <c r="F44" s="35"/>
      <c r="G44" s="35"/>
      <c r="H44" s="35"/>
      <c r="I44" s="35"/>
      <c r="J44" s="35">
        <v>500</v>
      </c>
      <c r="K44" s="35"/>
      <c r="L44" s="35"/>
      <c r="M44" s="35"/>
      <c r="N44" s="35"/>
      <c r="O44" s="35"/>
      <c r="P44" s="35">
        <v>500</v>
      </c>
      <c r="Q44" s="35"/>
      <c r="R44" s="35"/>
      <c r="S44" s="35"/>
      <c r="T44" s="35"/>
      <c r="U44" s="35"/>
      <c r="V44" s="35">
        <v>373500</v>
      </c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>
        <v>19000</v>
      </c>
      <c r="EY44" s="35"/>
      <c r="EZ44" s="35"/>
      <c r="FA44" s="35"/>
      <c r="FB44" s="35"/>
      <c r="FC44" s="35"/>
      <c r="FD44" s="35">
        <v>9424.7000000000007</v>
      </c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42"/>
      <c r="FT44" s="35"/>
      <c r="FU44" s="35"/>
      <c r="FV44" s="35"/>
      <c r="FW44" s="35"/>
      <c r="FX44" s="35"/>
      <c r="FY44" s="35"/>
      <c r="FZ44" s="35"/>
      <c r="GA44" s="35"/>
      <c r="GB44" s="35"/>
      <c r="GC44" s="35"/>
      <c r="GD44" s="35"/>
      <c r="GE44" s="35"/>
    </row>
    <row r="45" spans="1:187" ht="13.5" thickBot="1" x14ac:dyDescent="0.25">
      <c r="A45" s="64" t="s">
        <v>65</v>
      </c>
      <c r="B45" s="64"/>
      <c r="C45" s="55">
        <f>SUM(D46:GE46)</f>
        <v>0</v>
      </c>
      <c r="D45" s="31"/>
      <c r="E45" s="31"/>
      <c r="F45" s="31"/>
      <c r="G45" s="31"/>
      <c r="H45" s="31"/>
      <c r="I45" s="31"/>
      <c r="J45" s="31">
        <v>1205.5999999999999</v>
      </c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>
        <v>62500</v>
      </c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>
        <v>500</v>
      </c>
      <c r="AL45" s="31"/>
      <c r="AM45" s="31"/>
      <c r="AN45" s="31"/>
      <c r="AO45" s="31"/>
      <c r="AP45" s="31">
        <v>180</v>
      </c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>
        <v>3000</v>
      </c>
      <c r="CF45" s="31"/>
      <c r="CG45" s="31"/>
      <c r="CH45" s="31"/>
      <c r="CI45" s="31">
        <v>46000</v>
      </c>
      <c r="CJ45" s="31"/>
      <c r="CK45" s="31"/>
      <c r="CL45" s="31"/>
      <c r="CM45" s="31">
        <f>16900+200</f>
        <v>17100</v>
      </c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>
        <v>700</v>
      </c>
      <c r="DJ45" s="31"/>
      <c r="DK45" s="31"/>
      <c r="DL45" s="31"/>
      <c r="DM45" s="31"/>
      <c r="DN45" s="31"/>
      <c r="DO45" s="31">
        <v>300</v>
      </c>
      <c r="DP45" s="31"/>
      <c r="DQ45" s="31">
        <v>2800</v>
      </c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31"/>
      <c r="FS45" s="32">
        <v>520700</v>
      </c>
      <c r="FT45" s="31"/>
      <c r="FU45" s="31"/>
      <c r="FV45" s="31"/>
      <c r="FW45" s="31"/>
      <c r="FX45" s="31"/>
      <c r="FY45" s="31"/>
      <c r="FZ45" s="31"/>
      <c r="GA45" s="31"/>
      <c r="GB45" s="31"/>
      <c r="GC45" s="31"/>
      <c r="GD45" s="31"/>
      <c r="GE45" s="31"/>
    </row>
    <row r="46" spans="1:187" ht="26.25" thickBot="1" x14ac:dyDescent="0.25">
      <c r="A46" s="64" t="s">
        <v>66</v>
      </c>
      <c r="B46" s="64"/>
      <c r="C46" s="55">
        <f>SUM(D47:GE47)</f>
        <v>0</v>
      </c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</row>
    <row r="47" spans="1:187" ht="30.75" thickBot="1" x14ac:dyDescent="0.25">
      <c r="A47" s="65" t="s">
        <v>67</v>
      </c>
      <c r="B47" s="66">
        <v>41646</v>
      </c>
      <c r="C47" s="67">
        <f>C49+C50</f>
        <v>4836122</v>
      </c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5"/>
      <c r="FY47" s="35"/>
      <c r="FZ47" s="35"/>
      <c r="GA47" s="35"/>
      <c r="GB47" s="35"/>
      <c r="GC47" s="35"/>
      <c r="GD47" s="35"/>
      <c r="GE47" s="35"/>
    </row>
    <row r="48" spans="1:187" ht="26.25" thickBot="1" x14ac:dyDescent="0.25">
      <c r="A48" s="64" t="s">
        <v>68</v>
      </c>
      <c r="B48" s="64"/>
      <c r="C48" s="55">
        <f>SUM(D49:GE49)</f>
        <v>350818</v>
      </c>
      <c r="D48" s="40">
        <f>D49+D50</f>
        <v>0</v>
      </c>
      <c r="E48" s="40">
        <f t="shared" ref="E48:BP48" si="20">E49+E50</f>
        <v>0</v>
      </c>
      <c r="F48" s="40">
        <f t="shared" si="20"/>
        <v>1200</v>
      </c>
      <c r="G48" s="40">
        <f t="shared" si="20"/>
        <v>0</v>
      </c>
      <c r="H48" s="40">
        <f t="shared" si="20"/>
        <v>0</v>
      </c>
      <c r="I48" s="40">
        <f t="shared" si="20"/>
        <v>0</v>
      </c>
      <c r="J48" s="40">
        <f t="shared" si="20"/>
        <v>0</v>
      </c>
      <c r="K48" s="40">
        <f t="shared" si="20"/>
        <v>0</v>
      </c>
      <c r="L48" s="40">
        <f t="shared" si="20"/>
        <v>750</v>
      </c>
      <c r="M48" s="40">
        <f t="shared" si="20"/>
        <v>0</v>
      </c>
      <c r="N48" s="40">
        <f t="shared" si="20"/>
        <v>0</v>
      </c>
      <c r="O48" s="40">
        <f t="shared" si="20"/>
        <v>0</v>
      </c>
      <c r="P48" s="40">
        <f t="shared" si="20"/>
        <v>0</v>
      </c>
      <c r="Q48" s="40">
        <f t="shared" si="20"/>
        <v>0</v>
      </c>
      <c r="R48" s="40">
        <f t="shared" si="20"/>
        <v>0</v>
      </c>
      <c r="S48" s="40">
        <f t="shared" si="20"/>
        <v>6000</v>
      </c>
      <c r="T48" s="40">
        <f t="shared" si="20"/>
        <v>1500</v>
      </c>
      <c r="U48" s="40">
        <f t="shared" si="20"/>
        <v>0</v>
      </c>
      <c r="V48" s="40">
        <f t="shared" si="20"/>
        <v>0</v>
      </c>
      <c r="W48" s="40">
        <f t="shared" si="20"/>
        <v>4000</v>
      </c>
      <c r="X48" s="40">
        <f t="shared" si="20"/>
        <v>0</v>
      </c>
      <c r="Y48" s="40">
        <f t="shared" si="20"/>
        <v>473500</v>
      </c>
      <c r="Z48" s="40">
        <f t="shared" si="20"/>
        <v>0</v>
      </c>
      <c r="AA48" s="40">
        <f t="shared" si="20"/>
        <v>0</v>
      </c>
      <c r="AB48" s="40">
        <f t="shared" si="20"/>
        <v>0</v>
      </c>
      <c r="AC48" s="40">
        <f t="shared" si="20"/>
        <v>0</v>
      </c>
      <c r="AD48" s="40">
        <f t="shared" si="20"/>
        <v>0</v>
      </c>
      <c r="AE48" s="40">
        <f t="shared" si="20"/>
        <v>0</v>
      </c>
      <c r="AF48" s="40">
        <f t="shared" si="20"/>
        <v>0</v>
      </c>
      <c r="AG48" s="40">
        <f t="shared" si="20"/>
        <v>0</v>
      </c>
      <c r="AH48" s="40">
        <f t="shared" si="20"/>
        <v>0</v>
      </c>
      <c r="AI48" s="40">
        <f t="shared" si="20"/>
        <v>0</v>
      </c>
      <c r="AJ48" s="40">
        <f t="shared" si="20"/>
        <v>0</v>
      </c>
      <c r="AK48" s="40">
        <f t="shared" si="20"/>
        <v>0</v>
      </c>
      <c r="AL48" s="40">
        <f t="shared" si="20"/>
        <v>0</v>
      </c>
      <c r="AM48" s="40">
        <f t="shared" si="20"/>
        <v>0</v>
      </c>
      <c r="AN48" s="40">
        <f t="shared" si="20"/>
        <v>0</v>
      </c>
      <c r="AO48" s="40">
        <f t="shared" si="20"/>
        <v>0</v>
      </c>
      <c r="AP48" s="40">
        <f t="shared" si="20"/>
        <v>0</v>
      </c>
      <c r="AQ48" s="40">
        <f t="shared" si="20"/>
        <v>0</v>
      </c>
      <c r="AR48" s="40">
        <f t="shared" si="20"/>
        <v>0</v>
      </c>
      <c r="AS48" s="40">
        <f t="shared" si="20"/>
        <v>0</v>
      </c>
      <c r="AT48" s="40">
        <f t="shared" si="20"/>
        <v>500</v>
      </c>
      <c r="AU48" s="40">
        <f t="shared" si="20"/>
        <v>0</v>
      </c>
      <c r="AV48" s="40">
        <f t="shared" si="20"/>
        <v>0</v>
      </c>
      <c r="AW48" s="40">
        <f t="shared" si="20"/>
        <v>0</v>
      </c>
      <c r="AX48" s="40">
        <f t="shared" si="20"/>
        <v>982900</v>
      </c>
      <c r="AY48" s="40">
        <f t="shared" si="20"/>
        <v>1000</v>
      </c>
      <c r="AZ48" s="40">
        <f t="shared" si="20"/>
        <v>0</v>
      </c>
      <c r="BA48" s="40">
        <f t="shared" si="20"/>
        <v>0</v>
      </c>
      <c r="BB48" s="40">
        <f t="shared" si="20"/>
        <v>4800</v>
      </c>
      <c r="BC48" s="40">
        <f t="shared" si="20"/>
        <v>4800</v>
      </c>
      <c r="BD48" s="40">
        <f t="shared" si="20"/>
        <v>150</v>
      </c>
      <c r="BE48" s="40">
        <f t="shared" si="20"/>
        <v>0</v>
      </c>
      <c r="BF48" s="40">
        <f t="shared" si="20"/>
        <v>1500</v>
      </c>
      <c r="BG48" s="40">
        <f t="shared" si="20"/>
        <v>15600</v>
      </c>
      <c r="BH48" s="40">
        <f t="shared" si="20"/>
        <v>0</v>
      </c>
      <c r="BI48" s="40">
        <f t="shared" si="20"/>
        <v>600</v>
      </c>
      <c r="BJ48" s="40">
        <f t="shared" si="20"/>
        <v>0</v>
      </c>
      <c r="BK48" s="40">
        <f t="shared" si="20"/>
        <v>0</v>
      </c>
      <c r="BL48" s="40">
        <f t="shared" si="20"/>
        <v>299000</v>
      </c>
      <c r="BM48" s="40">
        <f t="shared" si="20"/>
        <v>0</v>
      </c>
      <c r="BN48" s="40">
        <f t="shared" si="20"/>
        <v>0</v>
      </c>
      <c r="BO48" s="40">
        <f t="shared" si="20"/>
        <v>0</v>
      </c>
      <c r="BP48" s="40">
        <f t="shared" si="20"/>
        <v>0</v>
      </c>
      <c r="BQ48" s="40">
        <f t="shared" ref="BQ48:EB48" si="21">BQ49+BQ50</f>
        <v>3000</v>
      </c>
      <c r="BR48" s="40">
        <f t="shared" si="21"/>
        <v>2200</v>
      </c>
      <c r="BS48" s="40">
        <f t="shared" si="21"/>
        <v>150</v>
      </c>
      <c r="BT48" s="40">
        <f t="shared" si="21"/>
        <v>0</v>
      </c>
      <c r="BU48" s="40">
        <f t="shared" si="21"/>
        <v>0</v>
      </c>
      <c r="BV48" s="40">
        <f t="shared" si="21"/>
        <v>0</v>
      </c>
      <c r="BW48" s="40">
        <f t="shared" si="21"/>
        <v>0</v>
      </c>
      <c r="BX48" s="40">
        <f t="shared" si="21"/>
        <v>4600</v>
      </c>
      <c r="BY48" s="40">
        <f t="shared" si="21"/>
        <v>0</v>
      </c>
      <c r="BZ48" s="40">
        <f t="shared" si="21"/>
        <v>0</v>
      </c>
      <c r="CA48" s="40">
        <f t="shared" si="21"/>
        <v>120</v>
      </c>
      <c r="CB48" s="40">
        <f t="shared" si="21"/>
        <v>0</v>
      </c>
      <c r="CC48" s="40">
        <f t="shared" si="21"/>
        <v>2200</v>
      </c>
      <c r="CD48" s="40">
        <f t="shared" si="21"/>
        <v>0</v>
      </c>
      <c r="CE48" s="40">
        <f t="shared" si="21"/>
        <v>400</v>
      </c>
      <c r="CF48" s="40">
        <f t="shared" si="21"/>
        <v>0</v>
      </c>
      <c r="CG48" s="40">
        <f t="shared" si="21"/>
        <v>0</v>
      </c>
      <c r="CH48" s="40">
        <f t="shared" si="21"/>
        <v>0</v>
      </c>
      <c r="CI48" s="40">
        <f t="shared" si="21"/>
        <v>325610</v>
      </c>
      <c r="CJ48" s="40">
        <f t="shared" si="21"/>
        <v>372600</v>
      </c>
      <c r="CK48" s="40">
        <f t="shared" si="21"/>
        <v>0</v>
      </c>
      <c r="CL48" s="40">
        <f t="shared" si="21"/>
        <v>13700</v>
      </c>
      <c r="CM48" s="40">
        <f t="shared" si="21"/>
        <v>1128</v>
      </c>
      <c r="CN48" s="40">
        <f t="shared" si="21"/>
        <v>32400</v>
      </c>
      <c r="CO48" s="40">
        <f t="shared" si="21"/>
        <v>0</v>
      </c>
      <c r="CP48" s="40">
        <f t="shared" si="21"/>
        <v>444800</v>
      </c>
      <c r="CQ48" s="40">
        <f t="shared" si="21"/>
        <v>0</v>
      </c>
      <c r="CR48" s="40">
        <f t="shared" si="21"/>
        <v>0</v>
      </c>
      <c r="CS48" s="40">
        <f t="shared" si="21"/>
        <v>0</v>
      </c>
      <c r="CT48" s="40">
        <f t="shared" si="21"/>
        <v>0</v>
      </c>
      <c r="CU48" s="40">
        <f t="shared" si="21"/>
        <v>0</v>
      </c>
      <c r="CV48" s="40">
        <f t="shared" si="21"/>
        <v>0</v>
      </c>
      <c r="CW48" s="40">
        <f t="shared" si="21"/>
        <v>0</v>
      </c>
      <c r="CX48" s="40">
        <f t="shared" si="21"/>
        <v>0</v>
      </c>
      <c r="CY48" s="40">
        <f t="shared" si="21"/>
        <v>0</v>
      </c>
      <c r="CZ48" s="40">
        <f t="shared" si="21"/>
        <v>0</v>
      </c>
      <c r="DA48" s="40">
        <f t="shared" si="21"/>
        <v>0</v>
      </c>
      <c r="DB48" s="40">
        <f t="shared" si="21"/>
        <v>230</v>
      </c>
      <c r="DC48" s="40">
        <f t="shared" si="21"/>
        <v>0</v>
      </c>
      <c r="DD48" s="40">
        <f t="shared" si="21"/>
        <v>0</v>
      </c>
      <c r="DE48" s="40">
        <f t="shared" si="21"/>
        <v>0</v>
      </c>
      <c r="DF48" s="40">
        <f t="shared" si="21"/>
        <v>0</v>
      </c>
      <c r="DG48" s="40">
        <f t="shared" si="21"/>
        <v>0</v>
      </c>
      <c r="DH48" s="40">
        <f t="shared" si="21"/>
        <v>0</v>
      </c>
      <c r="DI48" s="40">
        <f t="shared" si="21"/>
        <v>0</v>
      </c>
      <c r="DJ48" s="40">
        <f t="shared" si="21"/>
        <v>0</v>
      </c>
      <c r="DK48" s="40">
        <f t="shared" si="21"/>
        <v>0</v>
      </c>
      <c r="DL48" s="40">
        <f t="shared" si="21"/>
        <v>2500</v>
      </c>
      <c r="DM48" s="40">
        <f t="shared" si="21"/>
        <v>0</v>
      </c>
      <c r="DN48" s="40">
        <f t="shared" si="21"/>
        <v>1200</v>
      </c>
      <c r="DO48" s="40">
        <f t="shared" si="21"/>
        <v>0</v>
      </c>
      <c r="DP48" s="40">
        <f t="shared" si="21"/>
        <v>0</v>
      </c>
      <c r="DQ48" s="40">
        <f t="shared" si="21"/>
        <v>12000</v>
      </c>
      <c r="DR48" s="40">
        <f t="shared" si="21"/>
        <v>0</v>
      </c>
      <c r="DS48" s="40">
        <f t="shared" si="21"/>
        <v>2120</v>
      </c>
      <c r="DT48" s="40">
        <f t="shared" si="21"/>
        <v>0</v>
      </c>
      <c r="DU48" s="40">
        <f t="shared" si="21"/>
        <v>0</v>
      </c>
      <c r="DV48" s="40">
        <f t="shared" si="21"/>
        <v>0</v>
      </c>
      <c r="DW48" s="40">
        <f t="shared" si="21"/>
        <v>0</v>
      </c>
      <c r="DX48" s="40">
        <f t="shared" si="21"/>
        <v>33600</v>
      </c>
      <c r="DY48" s="40">
        <f t="shared" si="21"/>
        <v>0</v>
      </c>
      <c r="DZ48" s="40">
        <f t="shared" si="21"/>
        <v>0</v>
      </c>
      <c r="EA48" s="40">
        <f t="shared" si="21"/>
        <v>0</v>
      </c>
      <c r="EB48" s="40">
        <f t="shared" si="21"/>
        <v>7300</v>
      </c>
      <c r="EC48" s="40">
        <f t="shared" ref="EC48:GE48" si="22">EC49+EC50</f>
        <v>48600</v>
      </c>
      <c r="ED48" s="40">
        <f t="shared" si="22"/>
        <v>0</v>
      </c>
      <c r="EE48" s="40">
        <f t="shared" si="22"/>
        <v>0</v>
      </c>
      <c r="EF48" s="40">
        <f t="shared" si="22"/>
        <v>0</v>
      </c>
      <c r="EG48" s="40">
        <f t="shared" si="22"/>
        <v>0</v>
      </c>
      <c r="EH48" s="40">
        <f t="shared" si="22"/>
        <v>0</v>
      </c>
      <c r="EI48" s="40">
        <f t="shared" si="22"/>
        <v>0</v>
      </c>
      <c r="EJ48" s="40">
        <f t="shared" si="22"/>
        <v>370</v>
      </c>
      <c r="EK48" s="40">
        <f t="shared" si="22"/>
        <v>0</v>
      </c>
      <c r="EL48" s="40">
        <f t="shared" si="22"/>
        <v>2000</v>
      </c>
      <c r="EM48" s="40">
        <f t="shared" si="22"/>
        <v>0</v>
      </c>
      <c r="EN48" s="40">
        <f t="shared" si="22"/>
        <v>0</v>
      </c>
      <c r="EO48" s="40">
        <f t="shared" si="22"/>
        <v>1478400</v>
      </c>
      <c r="EP48" s="40">
        <f t="shared" si="22"/>
        <v>0</v>
      </c>
      <c r="EQ48" s="40">
        <f t="shared" si="22"/>
        <v>0</v>
      </c>
      <c r="ER48" s="40">
        <f t="shared" si="22"/>
        <v>0</v>
      </c>
      <c r="ES48" s="40">
        <f t="shared" si="22"/>
        <v>0</v>
      </c>
      <c r="ET48" s="40">
        <f t="shared" si="22"/>
        <v>550</v>
      </c>
      <c r="EU48" s="40">
        <f t="shared" si="22"/>
        <v>54</v>
      </c>
      <c r="EV48" s="40">
        <f t="shared" si="22"/>
        <v>0</v>
      </c>
      <c r="EW48" s="40">
        <f t="shared" si="22"/>
        <v>0</v>
      </c>
      <c r="EX48" s="40">
        <f t="shared" si="22"/>
        <v>250</v>
      </c>
      <c r="EY48" s="40">
        <f t="shared" si="22"/>
        <v>0</v>
      </c>
      <c r="EZ48" s="40">
        <f t="shared" si="22"/>
        <v>64700</v>
      </c>
      <c r="FA48" s="40">
        <f t="shared" si="22"/>
        <v>0</v>
      </c>
      <c r="FB48" s="40">
        <f t="shared" si="22"/>
        <v>4720</v>
      </c>
      <c r="FC48" s="40">
        <f t="shared" si="22"/>
        <v>38</v>
      </c>
      <c r="FD48" s="40">
        <f t="shared" si="22"/>
        <v>9600</v>
      </c>
      <c r="FE48" s="40">
        <f t="shared" si="22"/>
        <v>0</v>
      </c>
      <c r="FF48" s="40">
        <f t="shared" si="22"/>
        <v>0</v>
      </c>
      <c r="FG48" s="40">
        <f t="shared" si="22"/>
        <v>0</v>
      </c>
      <c r="FH48" s="40">
        <f t="shared" si="22"/>
        <v>10700</v>
      </c>
      <c r="FI48" s="40">
        <f t="shared" si="22"/>
        <v>0</v>
      </c>
      <c r="FJ48" s="40">
        <f t="shared" si="22"/>
        <v>0</v>
      </c>
      <c r="FK48" s="40">
        <f t="shared" si="22"/>
        <v>0</v>
      </c>
      <c r="FL48" s="40">
        <f t="shared" si="22"/>
        <v>375000</v>
      </c>
      <c r="FM48" s="40">
        <f t="shared" si="22"/>
        <v>0</v>
      </c>
      <c r="FN48" s="40">
        <f t="shared" si="22"/>
        <v>0</v>
      </c>
      <c r="FO48" s="40">
        <f t="shared" si="22"/>
        <v>0</v>
      </c>
      <c r="FP48" s="40">
        <f t="shared" si="22"/>
        <v>0</v>
      </c>
      <c r="FQ48" s="40">
        <f t="shared" si="22"/>
        <v>0</v>
      </c>
      <c r="FR48" s="40">
        <f t="shared" si="22"/>
        <v>116500</v>
      </c>
      <c r="FS48" s="40">
        <f t="shared" si="22"/>
        <v>6300</v>
      </c>
      <c r="FT48" s="40">
        <f t="shared" si="22"/>
        <v>0</v>
      </c>
      <c r="FU48" s="40">
        <f t="shared" si="22"/>
        <v>0</v>
      </c>
      <c r="FV48" s="40">
        <f t="shared" si="22"/>
        <v>0</v>
      </c>
      <c r="FW48" s="40">
        <f t="shared" si="22"/>
        <v>9500</v>
      </c>
      <c r="FX48" s="40">
        <f t="shared" si="22"/>
        <v>0</v>
      </c>
      <c r="FY48" s="40">
        <f t="shared" si="22"/>
        <v>0</v>
      </c>
      <c r="FZ48" s="40">
        <f t="shared" si="22"/>
        <v>0</v>
      </c>
      <c r="GA48" s="40">
        <f t="shared" si="22"/>
        <v>0</v>
      </c>
      <c r="GB48" s="40">
        <f t="shared" si="22"/>
        <v>0</v>
      </c>
      <c r="GC48" s="40">
        <f t="shared" si="22"/>
        <v>0</v>
      </c>
      <c r="GD48" s="40">
        <f t="shared" si="22"/>
        <v>0</v>
      </c>
      <c r="GE48" s="40">
        <f t="shared" si="22"/>
        <v>0</v>
      </c>
    </row>
    <row r="49" spans="1:188" ht="15.75" customHeight="1" thickBot="1" x14ac:dyDescent="0.25">
      <c r="A49" s="64" t="s">
        <v>69</v>
      </c>
      <c r="B49" s="64"/>
      <c r="C49" s="55">
        <f>SUM(D50:GE50)</f>
        <v>4836122</v>
      </c>
      <c r="D49" s="35"/>
      <c r="E49" s="35"/>
      <c r="F49" s="35"/>
      <c r="G49" s="35"/>
      <c r="H49" s="35"/>
      <c r="I49" s="35"/>
      <c r="J49" s="35"/>
      <c r="K49" s="35"/>
      <c r="L49" s="35">
        <v>750</v>
      </c>
      <c r="M49" s="35"/>
      <c r="N49" s="35"/>
      <c r="O49" s="35"/>
      <c r="P49" s="35"/>
      <c r="Q49" s="35"/>
      <c r="R49" s="35"/>
      <c r="S49" s="35">
        <v>6000</v>
      </c>
      <c r="T49" s="35">
        <v>1500</v>
      </c>
      <c r="U49" s="35"/>
      <c r="V49" s="35"/>
      <c r="W49" s="35">
        <v>1500</v>
      </c>
      <c r="X49" s="35"/>
      <c r="Y49" s="35">
        <v>81900</v>
      </c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>
        <v>500</v>
      </c>
      <c r="AU49" s="35"/>
      <c r="AV49" s="35"/>
      <c r="AW49" s="35"/>
      <c r="AX49" s="35">
        <v>1200</v>
      </c>
      <c r="AY49" s="35">
        <v>1000</v>
      </c>
      <c r="AZ49" s="35"/>
      <c r="BA49" s="35"/>
      <c r="BB49" s="35"/>
      <c r="BC49" s="35">
        <v>1200</v>
      </c>
      <c r="BD49" s="35">
        <v>150</v>
      </c>
      <c r="BE49" s="35"/>
      <c r="BF49" s="35">
        <v>1500</v>
      </c>
      <c r="BG49" s="35">
        <v>600</v>
      </c>
      <c r="BH49" s="35"/>
      <c r="BI49" s="35">
        <v>600</v>
      </c>
      <c r="BJ49" s="35"/>
      <c r="BK49" s="35"/>
      <c r="BL49" s="35"/>
      <c r="BM49" s="35"/>
      <c r="BN49" s="35"/>
      <c r="BO49" s="35"/>
      <c r="BP49" s="35"/>
      <c r="BQ49" s="35">
        <v>3000</v>
      </c>
      <c r="BR49" s="35"/>
      <c r="BS49" s="35">
        <v>150</v>
      </c>
      <c r="BT49" s="35"/>
      <c r="BU49" s="35"/>
      <c r="BV49" s="35"/>
      <c r="BW49" s="35"/>
      <c r="BX49" s="35">
        <v>4600</v>
      </c>
      <c r="BY49" s="35"/>
      <c r="BZ49" s="35"/>
      <c r="CA49" s="35">
        <v>120</v>
      </c>
      <c r="CB49" s="35"/>
      <c r="CC49" s="35"/>
      <c r="CD49" s="35"/>
      <c r="CE49" s="35">
        <v>400</v>
      </c>
      <c r="CF49" s="35"/>
      <c r="CG49" s="35"/>
      <c r="CH49" s="35"/>
      <c r="CI49" s="35"/>
      <c r="CJ49" s="35">
        <v>51400</v>
      </c>
      <c r="CK49" s="35"/>
      <c r="CL49" s="35">
        <v>3600</v>
      </c>
      <c r="CM49" s="35">
        <v>1128</v>
      </c>
      <c r="CN49" s="35">
        <v>1600</v>
      </c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>
        <v>230</v>
      </c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>
        <v>120</v>
      </c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>
        <v>370</v>
      </c>
      <c r="EK49" s="35"/>
      <c r="EL49" s="35">
        <v>2000</v>
      </c>
      <c r="EM49" s="35"/>
      <c r="EN49" s="35"/>
      <c r="EO49" s="35"/>
      <c r="EP49" s="35"/>
      <c r="EQ49" s="35"/>
      <c r="ER49" s="35"/>
      <c r="ES49" s="35"/>
      <c r="ET49" s="35">
        <v>550</v>
      </c>
      <c r="EU49" s="35"/>
      <c r="EV49" s="35"/>
      <c r="EW49" s="35"/>
      <c r="EX49" s="35">
        <v>250</v>
      </c>
      <c r="EY49" s="35"/>
      <c r="EZ49" s="35">
        <v>2600</v>
      </c>
      <c r="FA49" s="35"/>
      <c r="FB49" s="35">
        <v>4000</v>
      </c>
      <c r="FC49" s="35"/>
      <c r="FD49" s="35">
        <v>7400</v>
      </c>
      <c r="FE49" s="35"/>
      <c r="FF49" s="35"/>
      <c r="FG49" s="35"/>
      <c r="FH49" s="35">
        <v>10700</v>
      </c>
      <c r="FI49" s="35"/>
      <c r="FJ49" s="35"/>
      <c r="FK49" s="35"/>
      <c r="FL49" s="35">
        <v>34200</v>
      </c>
      <c r="FM49" s="35"/>
      <c r="FN49" s="35"/>
      <c r="FO49" s="35"/>
      <c r="FP49" s="35"/>
      <c r="FQ49" s="35"/>
      <c r="FR49" s="35">
        <v>116500</v>
      </c>
      <c r="FS49" s="35">
        <v>6300</v>
      </c>
      <c r="FT49" s="35"/>
      <c r="FU49" s="35"/>
      <c r="FV49" s="35"/>
      <c r="FW49" s="35">
        <v>1200</v>
      </c>
      <c r="FX49" s="35"/>
      <c r="FY49" s="37"/>
      <c r="FZ49" s="35"/>
      <c r="GA49" s="35"/>
      <c r="GB49" s="35"/>
      <c r="GC49" s="35"/>
      <c r="GD49" s="35"/>
      <c r="GE49" s="35"/>
    </row>
    <row r="50" spans="1:188" ht="15.75" customHeight="1" thickBot="1" x14ac:dyDescent="0.25">
      <c r="A50" s="65" t="s">
        <v>70</v>
      </c>
      <c r="B50" s="64"/>
      <c r="C50" s="55"/>
      <c r="D50" s="35"/>
      <c r="E50" s="35"/>
      <c r="F50" s="35">
        <v>1200</v>
      </c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>
        <v>2500</v>
      </c>
      <c r="X50" s="35"/>
      <c r="Y50" s="35">
        <v>391600</v>
      </c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>
        <v>981700</v>
      </c>
      <c r="AY50" s="35"/>
      <c r="AZ50" s="35"/>
      <c r="BA50" s="35"/>
      <c r="BB50" s="35">
        <v>4800</v>
      </c>
      <c r="BC50" s="35">
        <v>3600</v>
      </c>
      <c r="BD50" s="35"/>
      <c r="BE50" s="35"/>
      <c r="BF50" s="35"/>
      <c r="BG50" s="35">
        <v>15000</v>
      </c>
      <c r="BH50" s="35"/>
      <c r="BI50" s="35"/>
      <c r="BJ50" s="35"/>
      <c r="BK50" s="35"/>
      <c r="BL50" s="35">
        <v>299000</v>
      </c>
      <c r="BM50" s="35"/>
      <c r="BN50" s="35"/>
      <c r="BO50" s="35"/>
      <c r="BP50" s="35"/>
      <c r="BQ50" s="35"/>
      <c r="BR50" s="35">
        <v>2200</v>
      </c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>
        <v>2200</v>
      </c>
      <c r="CD50" s="35"/>
      <c r="CE50" s="35"/>
      <c r="CF50" s="35"/>
      <c r="CG50" s="35"/>
      <c r="CH50" s="35"/>
      <c r="CI50" s="35">
        <v>325610</v>
      </c>
      <c r="CJ50" s="35">
        <v>321200</v>
      </c>
      <c r="CK50" s="35"/>
      <c r="CL50" s="35">
        <v>10100</v>
      </c>
      <c r="CM50" s="35"/>
      <c r="CN50" s="35">
        <v>30800</v>
      </c>
      <c r="CO50" s="35"/>
      <c r="CP50" s="35">
        <v>444800</v>
      </c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>
        <v>2500</v>
      </c>
      <c r="DM50" s="35"/>
      <c r="DN50" s="35">
        <v>1200</v>
      </c>
      <c r="DO50" s="35"/>
      <c r="DP50" s="35"/>
      <c r="DQ50" s="35">
        <v>12000</v>
      </c>
      <c r="DR50" s="35"/>
      <c r="DS50" s="35">
        <v>2000</v>
      </c>
      <c r="DT50" s="35"/>
      <c r="DU50" s="35"/>
      <c r="DV50" s="35"/>
      <c r="DW50" s="35"/>
      <c r="DX50" s="35">
        <v>33600</v>
      </c>
      <c r="DY50" s="35"/>
      <c r="DZ50" s="35"/>
      <c r="EA50" s="35"/>
      <c r="EB50" s="35">
        <v>7300</v>
      </c>
      <c r="EC50" s="35">
        <v>48600</v>
      </c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>
        <v>1478400</v>
      </c>
      <c r="EP50" s="35"/>
      <c r="EQ50" s="35"/>
      <c r="ER50" s="35"/>
      <c r="ES50" s="35"/>
      <c r="ET50" s="35"/>
      <c r="EU50" s="37">
        <v>54</v>
      </c>
      <c r="EV50" s="35"/>
      <c r="EW50" s="35"/>
      <c r="EX50" s="35"/>
      <c r="EY50" s="35"/>
      <c r="EZ50" s="35">
        <v>62100</v>
      </c>
      <c r="FA50" s="35"/>
      <c r="FB50" s="35">
        <v>720</v>
      </c>
      <c r="FC50" s="35">
        <v>38</v>
      </c>
      <c r="FD50" s="35">
        <v>2200</v>
      </c>
      <c r="FE50" s="35"/>
      <c r="FF50" s="35"/>
      <c r="FG50" s="35"/>
      <c r="FH50" s="35"/>
      <c r="FI50" s="35"/>
      <c r="FJ50" s="35"/>
      <c r="FK50" s="35"/>
      <c r="FL50" s="35">
        <v>340800</v>
      </c>
      <c r="FM50" s="35"/>
      <c r="FN50" s="35"/>
      <c r="FO50" s="35"/>
      <c r="FP50" s="35"/>
      <c r="FQ50" s="35"/>
      <c r="FR50" s="35"/>
      <c r="FS50" s="35"/>
      <c r="FT50" s="35"/>
      <c r="FU50" s="35"/>
      <c r="FV50" s="35"/>
      <c r="FW50" s="35">
        <v>8300</v>
      </c>
      <c r="FX50" s="35"/>
      <c r="FY50" s="37"/>
      <c r="FZ50" s="35"/>
      <c r="GA50" s="35"/>
      <c r="GB50" s="35"/>
      <c r="GC50" s="35"/>
      <c r="GD50" s="35"/>
      <c r="GE50" s="35"/>
    </row>
    <row r="51" spans="1:188" ht="13.5" thickBot="1" x14ac:dyDescent="0.25">
      <c r="A51" s="68" t="s">
        <v>71</v>
      </c>
      <c r="B51" s="66">
        <v>41646</v>
      </c>
      <c r="C51" s="62">
        <f>C53</f>
        <v>0</v>
      </c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</row>
    <row r="52" spans="1:188" s="26" customFormat="1" ht="13.5" thickBot="1" x14ac:dyDescent="0.25">
      <c r="A52" s="64" t="s">
        <v>72</v>
      </c>
      <c r="B52" s="64"/>
      <c r="C52" s="55">
        <f>SUM(D53:GE53)</f>
        <v>0</v>
      </c>
      <c r="D52" s="39">
        <f t="shared" ref="D52:BO52" si="23">D53</f>
        <v>0</v>
      </c>
      <c r="E52" s="39">
        <f t="shared" si="23"/>
        <v>0</v>
      </c>
      <c r="F52" s="39">
        <f t="shared" si="23"/>
        <v>0</v>
      </c>
      <c r="G52" s="39">
        <f t="shared" si="23"/>
        <v>0</v>
      </c>
      <c r="H52" s="39">
        <f t="shared" si="23"/>
        <v>0</v>
      </c>
      <c r="I52" s="39">
        <f t="shared" si="23"/>
        <v>0</v>
      </c>
      <c r="J52" s="39">
        <f t="shared" si="23"/>
        <v>0</v>
      </c>
      <c r="K52" s="39">
        <f t="shared" si="23"/>
        <v>0</v>
      </c>
      <c r="L52" s="39">
        <f t="shared" si="23"/>
        <v>0</v>
      </c>
      <c r="M52" s="39">
        <f t="shared" si="23"/>
        <v>0</v>
      </c>
      <c r="N52" s="39">
        <f t="shared" si="23"/>
        <v>0</v>
      </c>
      <c r="O52" s="39">
        <f t="shared" si="23"/>
        <v>0</v>
      </c>
      <c r="P52" s="39">
        <f t="shared" si="23"/>
        <v>0</v>
      </c>
      <c r="Q52" s="39">
        <f t="shared" si="23"/>
        <v>0</v>
      </c>
      <c r="R52" s="39">
        <f t="shared" si="23"/>
        <v>0</v>
      </c>
      <c r="S52" s="39">
        <f t="shared" si="23"/>
        <v>0</v>
      </c>
      <c r="T52" s="39">
        <f t="shared" si="23"/>
        <v>0</v>
      </c>
      <c r="U52" s="39">
        <f t="shared" si="23"/>
        <v>0</v>
      </c>
      <c r="V52" s="39">
        <f t="shared" si="23"/>
        <v>0</v>
      </c>
      <c r="W52" s="39">
        <f t="shared" si="23"/>
        <v>0</v>
      </c>
      <c r="X52" s="39">
        <f t="shared" si="23"/>
        <v>0</v>
      </c>
      <c r="Y52" s="39">
        <f t="shared" si="23"/>
        <v>0</v>
      </c>
      <c r="Z52" s="39">
        <f t="shared" si="23"/>
        <v>0</v>
      </c>
      <c r="AA52" s="39">
        <f t="shared" si="23"/>
        <v>0</v>
      </c>
      <c r="AB52" s="39">
        <f t="shared" si="23"/>
        <v>0</v>
      </c>
      <c r="AC52" s="39">
        <f t="shared" si="23"/>
        <v>0</v>
      </c>
      <c r="AD52" s="39">
        <f t="shared" si="23"/>
        <v>0</v>
      </c>
      <c r="AE52" s="39">
        <f t="shared" si="23"/>
        <v>0</v>
      </c>
      <c r="AF52" s="39">
        <f t="shared" si="23"/>
        <v>0</v>
      </c>
      <c r="AG52" s="39">
        <f t="shared" si="23"/>
        <v>0</v>
      </c>
      <c r="AH52" s="39">
        <f t="shared" si="23"/>
        <v>0</v>
      </c>
      <c r="AI52" s="39">
        <f t="shared" si="23"/>
        <v>0</v>
      </c>
      <c r="AJ52" s="39">
        <f t="shared" si="23"/>
        <v>0</v>
      </c>
      <c r="AK52" s="39">
        <f t="shared" si="23"/>
        <v>0</v>
      </c>
      <c r="AL52" s="39">
        <f t="shared" si="23"/>
        <v>0</v>
      </c>
      <c r="AM52" s="39">
        <f t="shared" si="23"/>
        <v>0</v>
      </c>
      <c r="AN52" s="39">
        <f t="shared" si="23"/>
        <v>0</v>
      </c>
      <c r="AO52" s="39">
        <f t="shared" si="23"/>
        <v>0</v>
      </c>
      <c r="AP52" s="39">
        <f t="shared" si="23"/>
        <v>0</v>
      </c>
      <c r="AQ52" s="39">
        <f t="shared" si="23"/>
        <v>0</v>
      </c>
      <c r="AR52" s="39">
        <f t="shared" si="23"/>
        <v>0</v>
      </c>
      <c r="AS52" s="39">
        <f t="shared" si="23"/>
        <v>0</v>
      </c>
      <c r="AT52" s="39">
        <f t="shared" si="23"/>
        <v>0</v>
      </c>
      <c r="AU52" s="39">
        <f t="shared" si="23"/>
        <v>0</v>
      </c>
      <c r="AV52" s="39">
        <f t="shared" si="23"/>
        <v>0</v>
      </c>
      <c r="AW52" s="39">
        <f t="shared" si="23"/>
        <v>0</v>
      </c>
      <c r="AX52" s="39">
        <f t="shared" si="23"/>
        <v>0</v>
      </c>
      <c r="AY52" s="39">
        <f t="shared" si="23"/>
        <v>0</v>
      </c>
      <c r="AZ52" s="39">
        <f t="shared" si="23"/>
        <v>0</v>
      </c>
      <c r="BA52" s="39">
        <f t="shared" si="23"/>
        <v>0</v>
      </c>
      <c r="BB52" s="39">
        <f t="shared" si="23"/>
        <v>0</v>
      </c>
      <c r="BC52" s="39">
        <f t="shared" si="23"/>
        <v>0</v>
      </c>
      <c r="BD52" s="39">
        <f t="shared" si="23"/>
        <v>0</v>
      </c>
      <c r="BE52" s="39">
        <f t="shared" si="23"/>
        <v>0</v>
      </c>
      <c r="BF52" s="39">
        <f t="shared" si="23"/>
        <v>0</v>
      </c>
      <c r="BG52" s="39">
        <f t="shared" si="23"/>
        <v>0</v>
      </c>
      <c r="BH52" s="39">
        <f t="shared" si="23"/>
        <v>0</v>
      </c>
      <c r="BI52" s="39">
        <f t="shared" si="23"/>
        <v>0</v>
      </c>
      <c r="BJ52" s="39">
        <f t="shared" si="23"/>
        <v>0</v>
      </c>
      <c r="BK52" s="39">
        <f t="shared" si="23"/>
        <v>0</v>
      </c>
      <c r="BL52" s="39">
        <f t="shared" si="23"/>
        <v>0</v>
      </c>
      <c r="BM52" s="39">
        <f t="shared" si="23"/>
        <v>0</v>
      </c>
      <c r="BN52" s="39">
        <f t="shared" si="23"/>
        <v>0</v>
      </c>
      <c r="BO52" s="39">
        <f t="shared" si="23"/>
        <v>0</v>
      </c>
      <c r="BP52" s="39">
        <f t="shared" ref="BP52:EA52" si="24">BP53</f>
        <v>0</v>
      </c>
      <c r="BQ52" s="39">
        <f t="shared" si="24"/>
        <v>0</v>
      </c>
      <c r="BR52" s="39">
        <f t="shared" si="24"/>
        <v>0</v>
      </c>
      <c r="BS52" s="39">
        <f t="shared" si="24"/>
        <v>0</v>
      </c>
      <c r="BT52" s="39">
        <f t="shared" si="24"/>
        <v>0</v>
      </c>
      <c r="BU52" s="39">
        <f t="shared" si="24"/>
        <v>0</v>
      </c>
      <c r="BV52" s="39">
        <f t="shared" si="24"/>
        <v>0</v>
      </c>
      <c r="BW52" s="39">
        <f t="shared" si="24"/>
        <v>0</v>
      </c>
      <c r="BX52" s="39">
        <f t="shared" si="24"/>
        <v>0</v>
      </c>
      <c r="BY52" s="39">
        <f t="shared" si="24"/>
        <v>0</v>
      </c>
      <c r="BZ52" s="39">
        <f t="shared" si="24"/>
        <v>0</v>
      </c>
      <c r="CA52" s="39">
        <f t="shared" si="24"/>
        <v>0</v>
      </c>
      <c r="CB52" s="39">
        <f t="shared" si="24"/>
        <v>0</v>
      </c>
      <c r="CC52" s="39">
        <f t="shared" si="24"/>
        <v>0</v>
      </c>
      <c r="CD52" s="39">
        <f t="shared" si="24"/>
        <v>0</v>
      </c>
      <c r="CE52" s="39">
        <f t="shared" si="24"/>
        <v>0</v>
      </c>
      <c r="CF52" s="39">
        <f t="shared" si="24"/>
        <v>0</v>
      </c>
      <c r="CG52" s="39">
        <f t="shared" si="24"/>
        <v>0</v>
      </c>
      <c r="CH52" s="39">
        <f t="shared" si="24"/>
        <v>0</v>
      </c>
      <c r="CI52" s="39">
        <f t="shared" si="24"/>
        <v>0</v>
      </c>
      <c r="CJ52" s="39">
        <f t="shared" si="24"/>
        <v>0</v>
      </c>
      <c r="CK52" s="39">
        <f t="shared" si="24"/>
        <v>0</v>
      </c>
      <c r="CL52" s="39">
        <f t="shared" si="24"/>
        <v>0</v>
      </c>
      <c r="CM52" s="39">
        <f t="shared" si="24"/>
        <v>0</v>
      </c>
      <c r="CN52" s="39">
        <f t="shared" si="24"/>
        <v>0</v>
      </c>
      <c r="CO52" s="39">
        <f t="shared" si="24"/>
        <v>0</v>
      </c>
      <c r="CP52" s="39">
        <f t="shared" si="24"/>
        <v>0</v>
      </c>
      <c r="CQ52" s="39">
        <f t="shared" si="24"/>
        <v>0</v>
      </c>
      <c r="CR52" s="39">
        <f t="shared" si="24"/>
        <v>0</v>
      </c>
      <c r="CS52" s="39">
        <f t="shared" si="24"/>
        <v>0</v>
      </c>
      <c r="CT52" s="39">
        <f t="shared" si="24"/>
        <v>0</v>
      </c>
      <c r="CU52" s="39">
        <f t="shared" si="24"/>
        <v>0</v>
      </c>
      <c r="CV52" s="39">
        <f t="shared" si="24"/>
        <v>0</v>
      </c>
      <c r="CW52" s="39">
        <f t="shared" si="24"/>
        <v>0</v>
      </c>
      <c r="CX52" s="39">
        <f t="shared" si="24"/>
        <v>0</v>
      </c>
      <c r="CY52" s="39">
        <f t="shared" si="24"/>
        <v>0</v>
      </c>
      <c r="CZ52" s="39">
        <f t="shared" si="24"/>
        <v>0</v>
      </c>
      <c r="DA52" s="39">
        <f t="shared" si="24"/>
        <v>0</v>
      </c>
      <c r="DB52" s="39">
        <f t="shared" si="24"/>
        <v>0</v>
      </c>
      <c r="DC52" s="39">
        <f t="shared" si="24"/>
        <v>0</v>
      </c>
      <c r="DD52" s="39">
        <f t="shared" si="24"/>
        <v>0</v>
      </c>
      <c r="DE52" s="39">
        <f t="shared" si="24"/>
        <v>0</v>
      </c>
      <c r="DF52" s="39">
        <f t="shared" si="24"/>
        <v>0</v>
      </c>
      <c r="DG52" s="39">
        <f t="shared" si="24"/>
        <v>0</v>
      </c>
      <c r="DH52" s="39">
        <f t="shared" si="24"/>
        <v>0</v>
      </c>
      <c r="DI52" s="39">
        <f t="shared" si="24"/>
        <v>0</v>
      </c>
      <c r="DJ52" s="39">
        <f t="shared" si="24"/>
        <v>0</v>
      </c>
      <c r="DK52" s="39">
        <f t="shared" si="24"/>
        <v>0</v>
      </c>
      <c r="DL52" s="39">
        <f t="shared" si="24"/>
        <v>0</v>
      </c>
      <c r="DM52" s="39">
        <f t="shared" si="24"/>
        <v>0</v>
      </c>
      <c r="DN52" s="39">
        <f t="shared" si="24"/>
        <v>0</v>
      </c>
      <c r="DO52" s="39">
        <f t="shared" si="24"/>
        <v>0</v>
      </c>
      <c r="DP52" s="39">
        <f t="shared" si="24"/>
        <v>0</v>
      </c>
      <c r="DQ52" s="39">
        <f t="shared" si="24"/>
        <v>0</v>
      </c>
      <c r="DR52" s="39">
        <f t="shared" si="24"/>
        <v>0</v>
      </c>
      <c r="DS52" s="39">
        <f t="shared" si="24"/>
        <v>0</v>
      </c>
      <c r="DT52" s="39">
        <f t="shared" si="24"/>
        <v>0</v>
      </c>
      <c r="DU52" s="39">
        <f t="shared" si="24"/>
        <v>0</v>
      </c>
      <c r="DV52" s="39">
        <f t="shared" si="24"/>
        <v>0</v>
      </c>
      <c r="DW52" s="39">
        <f t="shared" si="24"/>
        <v>0</v>
      </c>
      <c r="DX52" s="39">
        <f t="shared" si="24"/>
        <v>0</v>
      </c>
      <c r="DY52" s="39">
        <f t="shared" si="24"/>
        <v>0</v>
      </c>
      <c r="DZ52" s="39">
        <f t="shared" si="24"/>
        <v>0</v>
      </c>
      <c r="EA52" s="39">
        <f t="shared" si="24"/>
        <v>0</v>
      </c>
      <c r="EB52" s="39">
        <f t="shared" ref="EB52:GE52" si="25">EB53</f>
        <v>0</v>
      </c>
      <c r="EC52" s="39">
        <f t="shared" si="25"/>
        <v>0</v>
      </c>
      <c r="ED52" s="39">
        <f t="shared" si="25"/>
        <v>0</v>
      </c>
      <c r="EE52" s="39">
        <f t="shared" si="25"/>
        <v>0</v>
      </c>
      <c r="EF52" s="39">
        <f t="shared" si="25"/>
        <v>0</v>
      </c>
      <c r="EG52" s="39">
        <f t="shared" si="25"/>
        <v>0</v>
      </c>
      <c r="EH52" s="39">
        <f t="shared" si="25"/>
        <v>0</v>
      </c>
      <c r="EI52" s="39">
        <f t="shared" si="25"/>
        <v>0</v>
      </c>
      <c r="EJ52" s="39">
        <f t="shared" si="25"/>
        <v>0</v>
      </c>
      <c r="EK52" s="39">
        <f t="shared" si="25"/>
        <v>0</v>
      </c>
      <c r="EL52" s="39">
        <f t="shared" si="25"/>
        <v>0</v>
      </c>
      <c r="EM52" s="39">
        <f t="shared" si="25"/>
        <v>0</v>
      </c>
      <c r="EN52" s="39">
        <f t="shared" si="25"/>
        <v>0</v>
      </c>
      <c r="EO52" s="39">
        <f t="shared" si="25"/>
        <v>0</v>
      </c>
      <c r="EP52" s="39">
        <f t="shared" si="25"/>
        <v>0</v>
      </c>
      <c r="EQ52" s="39">
        <f t="shared" si="25"/>
        <v>0</v>
      </c>
      <c r="ER52" s="39">
        <f t="shared" si="25"/>
        <v>0</v>
      </c>
      <c r="ES52" s="39">
        <f t="shared" si="25"/>
        <v>0</v>
      </c>
      <c r="ET52" s="39">
        <f t="shared" si="25"/>
        <v>0</v>
      </c>
      <c r="EU52" s="39">
        <f t="shared" si="25"/>
        <v>0</v>
      </c>
      <c r="EV52" s="39">
        <f t="shared" si="25"/>
        <v>0</v>
      </c>
      <c r="EW52" s="39">
        <f t="shared" si="25"/>
        <v>0</v>
      </c>
      <c r="EX52" s="39">
        <f t="shared" si="25"/>
        <v>0</v>
      </c>
      <c r="EY52" s="39">
        <f t="shared" si="25"/>
        <v>0</v>
      </c>
      <c r="EZ52" s="39">
        <f t="shared" si="25"/>
        <v>0</v>
      </c>
      <c r="FA52" s="39">
        <f t="shared" si="25"/>
        <v>0</v>
      </c>
      <c r="FB52" s="39">
        <f t="shared" si="25"/>
        <v>0</v>
      </c>
      <c r="FC52" s="39">
        <f t="shared" si="25"/>
        <v>0</v>
      </c>
      <c r="FD52" s="39">
        <f t="shared" si="25"/>
        <v>0</v>
      </c>
      <c r="FE52" s="39">
        <f t="shared" si="25"/>
        <v>0</v>
      </c>
      <c r="FF52" s="39">
        <f t="shared" si="25"/>
        <v>0</v>
      </c>
      <c r="FG52" s="39">
        <f t="shared" si="25"/>
        <v>0</v>
      </c>
      <c r="FH52" s="39">
        <f t="shared" si="25"/>
        <v>0</v>
      </c>
      <c r="FI52" s="39">
        <f t="shared" si="25"/>
        <v>0</v>
      </c>
      <c r="FJ52" s="39">
        <f t="shared" si="25"/>
        <v>0</v>
      </c>
      <c r="FK52" s="39">
        <f t="shared" si="25"/>
        <v>0</v>
      </c>
      <c r="FL52" s="39">
        <f t="shared" si="25"/>
        <v>0</v>
      </c>
      <c r="FM52" s="39">
        <f t="shared" si="25"/>
        <v>0</v>
      </c>
      <c r="FN52" s="39">
        <f t="shared" si="25"/>
        <v>0</v>
      </c>
      <c r="FO52" s="39">
        <f t="shared" si="25"/>
        <v>0</v>
      </c>
      <c r="FP52" s="39">
        <f t="shared" si="25"/>
        <v>0</v>
      </c>
      <c r="FQ52" s="39">
        <f t="shared" si="25"/>
        <v>0</v>
      </c>
      <c r="FR52" s="39">
        <f t="shared" si="25"/>
        <v>0</v>
      </c>
      <c r="FS52" s="39">
        <f t="shared" si="25"/>
        <v>0</v>
      </c>
      <c r="FT52" s="39">
        <f t="shared" si="25"/>
        <v>0</v>
      </c>
      <c r="FU52" s="39">
        <f t="shared" si="25"/>
        <v>0</v>
      </c>
      <c r="FV52" s="39">
        <f t="shared" si="25"/>
        <v>0</v>
      </c>
      <c r="FW52" s="39">
        <f t="shared" si="25"/>
        <v>0</v>
      </c>
      <c r="FX52" s="39">
        <f t="shared" si="25"/>
        <v>0</v>
      </c>
      <c r="FY52" s="39">
        <f t="shared" si="25"/>
        <v>0</v>
      </c>
      <c r="FZ52" s="39">
        <f t="shared" si="25"/>
        <v>0</v>
      </c>
      <c r="GA52" s="39">
        <f t="shared" si="25"/>
        <v>0</v>
      </c>
      <c r="GB52" s="39">
        <f t="shared" si="25"/>
        <v>0</v>
      </c>
      <c r="GC52" s="39">
        <f t="shared" si="25"/>
        <v>0</v>
      </c>
      <c r="GD52" s="39">
        <f t="shared" si="25"/>
        <v>0</v>
      </c>
      <c r="GE52" s="39">
        <f t="shared" si="25"/>
        <v>0</v>
      </c>
    </row>
    <row r="53" spans="1:188" ht="15.75" thickBot="1" x14ac:dyDescent="0.3">
      <c r="A53" s="47"/>
      <c r="B53" s="47"/>
      <c r="C53" s="47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35"/>
      <c r="FL53" s="35"/>
      <c r="FM53" s="35"/>
      <c r="FN53" s="35"/>
      <c r="FO53" s="35"/>
      <c r="FP53" s="35"/>
      <c r="FQ53" s="35"/>
      <c r="FR53" s="35"/>
      <c r="FS53" s="35"/>
      <c r="FT53" s="35"/>
      <c r="FU53" s="35"/>
      <c r="FV53" s="35"/>
      <c r="FW53" s="35"/>
      <c r="FX53" s="35"/>
      <c r="FY53" s="35"/>
      <c r="FZ53" s="35"/>
      <c r="GA53" s="35"/>
      <c r="GB53" s="35"/>
      <c r="GC53" s="35"/>
      <c r="GD53" s="35"/>
      <c r="GE53" s="35"/>
    </row>
    <row r="54" spans="1:188" ht="48" customHeight="1" thickBot="1" x14ac:dyDescent="0.25">
      <c r="A54" s="69"/>
      <c r="B54" s="69"/>
      <c r="C54" s="69">
        <f>C48+C42+C36+C32+C21+C11</f>
        <v>267567092.11000001</v>
      </c>
      <c r="CL54" s="43" t="s">
        <v>10</v>
      </c>
      <c r="DN54" s="44" t="s">
        <v>11</v>
      </c>
    </row>
    <row r="55" spans="1:188" s="26" customFormat="1" ht="16.5" thickTop="1" thickBot="1" x14ac:dyDescent="0.3">
      <c r="A55" s="47"/>
      <c r="B55" s="47"/>
      <c r="C55" s="47"/>
      <c r="D55" s="45">
        <f t="shared" ref="D55:BO55" si="26">D48+D42+D36+D32+D21+D11</f>
        <v>155.26</v>
      </c>
      <c r="E55" s="45">
        <f t="shared" si="26"/>
        <v>25492.04</v>
      </c>
      <c r="F55" s="45">
        <f t="shared" si="26"/>
        <v>40270.089999999997</v>
      </c>
      <c r="G55" s="45">
        <f t="shared" si="26"/>
        <v>18</v>
      </c>
      <c r="H55" s="45">
        <f t="shared" si="26"/>
        <v>474.65000000000003</v>
      </c>
      <c r="I55" s="45">
        <f t="shared" si="26"/>
        <v>558.5</v>
      </c>
      <c r="J55" s="45">
        <f t="shared" si="26"/>
        <v>15529.91</v>
      </c>
      <c r="K55" s="45">
        <f t="shared" si="26"/>
        <v>20725.580000000002</v>
      </c>
      <c r="L55" s="45">
        <f t="shared" si="26"/>
        <v>34146.559999999998</v>
      </c>
      <c r="M55" s="45">
        <f t="shared" si="26"/>
        <v>19118.560000000001</v>
      </c>
      <c r="N55" s="45">
        <f t="shared" si="26"/>
        <v>16497.86</v>
      </c>
      <c r="O55" s="45">
        <f t="shared" si="26"/>
        <v>549631055.31000006</v>
      </c>
      <c r="P55" s="45">
        <f t="shared" si="26"/>
        <v>15421.76</v>
      </c>
      <c r="Q55" s="45">
        <f t="shared" si="26"/>
        <v>6042.91</v>
      </c>
      <c r="R55" s="45">
        <f t="shared" si="26"/>
        <v>8653.43</v>
      </c>
      <c r="S55" s="45">
        <f t="shared" si="26"/>
        <v>22318.95</v>
      </c>
      <c r="T55" s="45">
        <f t="shared" si="26"/>
        <v>182316.26</v>
      </c>
      <c r="U55" s="45">
        <f t="shared" si="26"/>
        <v>3393.8</v>
      </c>
      <c r="V55" s="45">
        <f t="shared" si="26"/>
        <v>1611295.5699999998</v>
      </c>
      <c r="W55" s="45">
        <f t="shared" si="26"/>
        <v>23682.6</v>
      </c>
      <c r="X55" s="45">
        <f t="shared" si="26"/>
        <v>73.3</v>
      </c>
      <c r="Y55" s="45">
        <f t="shared" si="26"/>
        <v>11102265.050000001</v>
      </c>
      <c r="Z55" s="45">
        <f t="shared" si="26"/>
        <v>43488.520000000004</v>
      </c>
      <c r="AA55" s="45">
        <f t="shared" si="26"/>
        <v>2273.2000000000003</v>
      </c>
      <c r="AB55" s="45">
        <f t="shared" si="26"/>
        <v>1323298.29</v>
      </c>
      <c r="AC55" s="45">
        <f t="shared" si="26"/>
        <v>650.6</v>
      </c>
      <c r="AD55" s="45">
        <f t="shared" si="26"/>
        <v>2781.4300000000003</v>
      </c>
      <c r="AE55" s="45">
        <f t="shared" si="26"/>
        <v>195410.71</v>
      </c>
      <c r="AF55" s="45">
        <f t="shared" si="26"/>
        <v>0</v>
      </c>
      <c r="AG55" s="45">
        <f t="shared" si="26"/>
        <v>1080641.74</v>
      </c>
      <c r="AH55" s="45">
        <f t="shared" si="26"/>
        <v>0</v>
      </c>
      <c r="AI55" s="45">
        <f t="shared" si="26"/>
        <v>3980.4100000000003</v>
      </c>
      <c r="AJ55" s="45">
        <f t="shared" si="26"/>
        <v>0.15</v>
      </c>
      <c r="AK55" s="45">
        <f t="shared" si="26"/>
        <v>9412.26</v>
      </c>
      <c r="AL55" s="45">
        <f t="shared" si="26"/>
        <v>4068.5</v>
      </c>
      <c r="AM55" s="45">
        <f t="shared" si="26"/>
        <v>16907.370000000003</v>
      </c>
      <c r="AN55" s="45">
        <f t="shared" si="26"/>
        <v>26318</v>
      </c>
      <c r="AO55" s="45">
        <f t="shared" si="26"/>
        <v>13302.7</v>
      </c>
      <c r="AP55" s="45">
        <f t="shared" si="26"/>
        <v>9732.1000000000022</v>
      </c>
      <c r="AQ55" s="45">
        <f t="shared" si="26"/>
        <v>18162.52</v>
      </c>
      <c r="AR55" s="45">
        <f t="shared" si="26"/>
        <v>6808549.5300000012</v>
      </c>
      <c r="AS55" s="45">
        <f t="shared" si="26"/>
        <v>29694254.669999998</v>
      </c>
      <c r="AT55" s="45">
        <f t="shared" si="26"/>
        <v>50243.960000000006</v>
      </c>
      <c r="AU55" s="45">
        <f t="shared" si="26"/>
        <v>5592.41</v>
      </c>
      <c r="AV55" s="45">
        <f t="shared" si="26"/>
        <v>124788.23000000001</v>
      </c>
      <c r="AW55" s="45">
        <f t="shared" si="26"/>
        <v>81190.47</v>
      </c>
      <c r="AX55" s="45">
        <f t="shared" si="26"/>
        <v>2549941.27</v>
      </c>
      <c r="AY55" s="45">
        <f t="shared" si="26"/>
        <v>615598.19000000018</v>
      </c>
      <c r="AZ55" s="45">
        <f t="shared" si="26"/>
        <v>37483.31</v>
      </c>
      <c r="BA55" s="45">
        <f t="shared" si="26"/>
        <v>20897.174999999999</v>
      </c>
      <c r="BB55" s="45">
        <f t="shared" si="26"/>
        <v>51993.7</v>
      </c>
      <c r="BC55" s="45">
        <f t="shared" si="26"/>
        <v>58315.9</v>
      </c>
      <c r="BD55" s="45">
        <f t="shared" si="26"/>
        <v>233.2</v>
      </c>
      <c r="BE55" s="45">
        <f t="shared" si="26"/>
        <v>5442.9800000000005</v>
      </c>
      <c r="BF55" s="45">
        <f t="shared" si="26"/>
        <v>5314.7900000000009</v>
      </c>
      <c r="BG55" s="45">
        <f t="shared" si="26"/>
        <v>156853.42000000001</v>
      </c>
      <c r="BH55" s="45">
        <f t="shared" si="26"/>
        <v>25585.93</v>
      </c>
      <c r="BI55" s="45">
        <f t="shared" si="26"/>
        <v>7583.36</v>
      </c>
      <c r="BJ55" s="45">
        <f t="shared" si="26"/>
        <v>9003.8599999999988</v>
      </c>
      <c r="BK55" s="45">
        <f t="shared" si="26"/>
        <v>26166.33</v>
      </c>
      <c r="BL55" s="45">
        <f t="shared" si="26"/>
        <v>818706.87000000011</v>
      </c>
      <c r="BM55" s="45">
        <f t="shared" si="26"/>
        <v>21130.18</v>
      </c>
      <c r="BN55" s="45">
        <f t="shared" si="26"/>
        <v>27586.57</v>
      </c>
      <c r="BO55" s="45">
        <f t="shared" si="26"/>
        <v>633.54999999999995</v>
      </c>
      <c r="BP55" s="45">
        <f t="shared" ref="BP55:EA55" si="27">BP48+BP42+BP36+BP32+BP21+BP11</f>
        <v>24292.9</v>
      </c>
      <c r="BQ55" s="45">
        <f t="shared" si="27"/>
        <v>158744.4</v>
      </c>
      <c r="BR55" s="45">
        <f t="shared" si="27"/>
        <v>2246.6999999999998</v>
      </c>
      <c r="BS55" s="45">
        <f t="shared" si="27"/>
        <v>30362.2</v>
      </c>
      <c r="BT55" s="45">
        <f t="shared" si="27"/>
        <v>8792.69</v>
      </c>
      <c r="BU55" s="45">
        <f t="shared" si="27"/>
        <v>648.88</v>
      </c>
      <c r="BV55" s="45">
        <f t="shared" si="27"/>
        <v>13390.859999999999</v>
      </c>
      <c r="BW55" s="45">
        <f t="shared" si="27"/>
        <v>1823.3400000000001</v>
      </c>
      <c r="BX55" s="45">
        <f t="shared" si="27"/>
        <v>101073.07</v>
      </c>
      <c r="BY55" s="45">
        <f t="shared" si="27"/>
        <v>0</v>
      </c>
      <c r="BZ55" s="45">
        <f t="shared" si="27"/>
        <v>45361.22</v>
      </c>
      <c r="CA55" s="45">
        <f t="shared" si="27"/>
        <v>23925.850000000002</v>
      </c>
      <c r="CB55" s="45">
        <f t="shared" si="27"/>
        <v>2079.0700000000002</v>
      </c>
      <c r="CC55" s="45">
        <f t="shared" si="27"/>
        <v>9205.1</v>
      </c>
      <c r="CD55" s="45">
        <f t="shared" si="27"/>
        <v>3787.4</v>
      </c>
      <c r="CE55" s="45">
        <f t="shared" si="27"/>
        <v>43225.05</v>
      </c>
      <c r="CF55" s="45">
        <f t="shared" si="27"/>
        <v>46989.08</v>
      </c>
      <c r="CG55" s="45">
        <f t="shared" si="27"/>
        <v>233455.07</v>
      </c>
      <c r="CH55" s="45">
        <f t="shared" si="27"/>
        <v>89942.78</v>
      </c>
      <c r="CI55" s="45">
        <f t="shared" si="27"/>
        <v>908729.86</v>
      </c>
      <c r="CJ55" s="45">
        <f t="shared" si="27"/>
        <v>4555135.6300000008</v>
      </c>
      <c r="CK55" s="45">
        <f t="shared" si="27"/>
        <v>203032.21999999997</v>
      </c>
      <c r="CL55" s="45">
        <f t="shared" si="27"/>
        <v>77645.84</v>
      </c>
      <c r="CM55" s="45">
        <f t="shared" si="27"/>
        <v>5509256.0500000007</v>
      </c>
      <c r="CN55" s="45">
        <f t="shared" si="27"/>
        <v>34963.550000000003</v>
      </c>
      <c r="CO55" s="45">
        <f t="shared" si="27"/>
        <v>97189.42</v>
      </c>
      <c r="CP55" s="45">
        <f t="shared" si="27"/>
        <v>2283547.1399999997</v>
      </c>
      <c r="CQ55" s="45">
        <f t="shared" si="27"/>
        <v>30063.439999999999</v>
      </c>
      <c r="CR55" s="45">
        <f t="shared" si="27"/>
        <v>28648</v>
      </c>
      <c r="CS55" s="45">
        <f t="shared" si="27"/>
        <v>1653.06</v>
      </c>
      <c r="CT55" s="45">
        <f t="shared" si="27"/>
        <v>7133.2</v>
      </c>
      <c r="CU55" s="45">
        <f t="shared" si="27"/>
        <v>1.05</v>
      </c>
      <c r="CV55" s="45">
        <f t="shared" si="27"/>
        <v>1076</v>
      </c>
      <c r="CW55" s="45">
        <f t="shared" si="27"/>
        <v>1741.83</v>
      </c>
      <c r="CX55" s="45">
        <f t="shared" si="27"/>
        <v>1667.65</v>
      </c>
      <c r="CY55" s="45">
        <f t="shared" si="27"/>
        <v>797.55</v>
      </c>
      <c r="CZ55" s="45">
        <f t="shared" si="27"/>
        <v>784156.33</v>
      </c>
      <c r="DA55" s="45">
        <f t="shared" si="27"/>
        <v>1957.1</v>
      </c>
      <c r="DB55" s="45">
        <f t="shared" si="27"/>
        <v>45355.374000000003</v>
      </c>
      <c r="DC55" s="45">
        <f t="shared" si="27"/>
        <v>14.31</v>
      </c>
      <c r="DD55" s="45">
        <f t="shared" si="27"/>
        <v>2395.8000000000002</v>
      </c>
      <c r="DE55" s="45">
        <f t="shared" si="27"/>
        <v>2389.23</v>
      </c>
      <c r="DF55" s="45">
        <f t="shared" si="27"/>
        <v>366893.19</v>
      </c>
      <c r="DG55" s="45">
        <f t="shared" si="27"/>
        <v>207.4</v>
      </c>
      <c r="DH55" s="45">
        <f t="shared" si="27"/>
        <v>17265.63</v>
      </c>
      <c r="DI55" s="45">
        <f t="shared" si="27"/>
        <v>84029.050000000017</v>
      </c>
      <c r="DJ55" s="45">
        <f t="shared" si="27"/>
        <v>14600.8</v>
      </c>
      <c r="DK55" s="45">
        <f t="shared" si="27"/>
        <v>191.82</v>
      </c>
      <c r="DL55" s="45">
        <f t="shared" si="27"/>
        <v>121611.84000000001</v>
      </c>
      <c r="DM55" s="45">
        <f t="shared" si="27"/>
        <v>4291.1000000000004</v>
      </c>
      <c r="DN55" s="45">
        <f t="shared" si="27"/>
        <v>16919.5</v>
      </c>
      <c r="DO55" s="45">
        <f t="shared" si="27"/>
        <v>3015.42</v>
      </c>
      <c r="DP55" s="45">
        <f t="shared" si="27"/>
        <v>12633.680000000002</v>
      </c>
      <c r="DQ55" s="45">
        <f t="shared" si="27"/>
        <v>88508.37000000001</v>
      </c>
      <c r="DR55" s="45">
        <f t="shared" si="27"/>
        <v>211067.28000000003</v>
      </c>
      <c r="DS55" s="45">
        <f t="shared" si="27"/>
        <v>8631.0099999999984</v>
      </c>
      <c r="DT55" s="45">
        <f t="shared" si="27"/>
        <v>612.16</v>
      </c>
      <c r="DU55" s="45">
        <f t="shared" si="27"/>
        <v>100089.23</v>
      </c>
      <c r="DV55" s="45">
        <f t="shared" si="27"/>
        <v>7102.4900000000007</v>
      </c>
      <c r="DW55" s="45">
        <f t="shared" si="27"/>
        <v>1504.3</v>
      </c>
      <c r="DX55" s="45">
        <f t="shared" si="27"/>
        <v>71570.17</v>
      </c>
      <c r="DY55" s="45">
        <f t="shared" si="27"/>
        <v>2386.88</v>
      </c>
      <c r="DZ55" s="45">
        <f t="shared" si="27"/>
        <v>131196.70000000001</v>
      </c>
      <c r="EA55" s="45">
        <f t="shared" si="27"/>
        <v>111711.69</v>
      </c>
      <c r="EB55" s="45">
        <f t="shared" ref="EB55:GD55" si="28">EB48+EB42+EB36+EB32+EB21+EB11</f>
        <v>63127.3</v>
      </c>
      <c r="EC55" s="45">
        <f t="shared" si="28"/>
        <v>403665.18</v>
      </c>
      <c r="ED55" s="45">
        <f t="shared" si="28"/>
        <v>3647.64</v>
      </c>
      <c r="EE55" s="45">
        <f t="shared" si="28"/>
        <v>745.25</v>
      </c>
      <c r="EF55" s="45">
        <f t="shared" si="28"/>
        <v>475.65</v>
      </c>
      <c r="EG55" s="45">
        <f t="shared" si="28"/>
        <v>1527.99</v>
      </c>
      <c r="EH55" s="45">
        <f t="shared" si="28"/>
        <v>4533.41</v>
      </c>
      <c r="EI55" s="45">
        <f t="shared" si="28"/>
        <v>34483.9</v>
      </c>
      <c r="EJ55" s="45">
        <f t="shared" si="28"/>
        <v>15721.679999999998</v>
      </c>
      <c r="EK55" s="45">
        <f t="shared" si="28"/>
        <v>1.1499999999999999</v>
      </c>
      <c r="EL55" s="45">
        <f t="shared" si="28"/>
        <v>189559.59</v>
      </c>
      <c r="EM55" s="45">
        <f t="shared" si="28"/>
        <v>45382.600000000006</v>
      </c>
      <c r="EN55" s="45">
        <f t="shared" si="28"/>
        <v>2906.1</v>
      </c>
      <c r="EO55" s="45">
        <f t="shared" si="28"/>
        <v>19530786.940000001</v>
      </c>
      <c r="EP55" s="45">
        <f t="shared" si="28"/>
        <v>1263.5999999999999</v>
      </c>
      <c r="EQ55" s="45">
        <f t="shared" si="28"/>
        <v>449097.58999999997</v>
      </c>
      <c r="ER55" s="45">
        <f t="shared" si="28"/>
        <v>10129.299999999999</v>
      </c>
      <c r="ES55" s="45">
        <f t="shared" si="28"/>
        <v>34802</v>
      </c>
      <c r="ET55" s="45">
        <f t="shared" si="28"/>
        <v>35734.68</v>
      </c>
      <c r="EU55" s="45">
        <f t="shared" si="28"/>
        <v>2954.78</v>
      </c>
      <c r="EV55" s="45">
        <f t="shared" si="28"/>
        <v>46244.240000000005</v>
      </c>
      <c r="EW55" s="45">
        <f t="shared" si="28"/>
        <v>32556.84</v>
      </c>
      <c r="EX55" s="45">
        <f t="shared" si="28"/>
        <v>750419.21</v>
      </c>
      <c r="EY55" s="45">
        <f t="shared" si="28"/>
        <v>15510.91</v>
      </c>
      <c r="EZ55" s="45">
        <f t="shared" si="28"/>
        <v>444188.89999999997</v>
      </c>
      <c r="FA55" s="45">
        <f t="shared" si="28"/>
        <v>26700.600000000002</v>
      </c>
      <c r="FB55" s="45">
        <f t="shared" si="28"/>
        <v>4509754.76</v>
      </c>
      <c r="FC55" s="45">
        <f t="shared" si="28"/>
        <v>136493.1</v>
      </c>
      <c r="FD55" s="45">
        <f t="shared" si="28"/>
        <v>998036.74</v>
      </c>
      <c r="FE55" s="45">
        <f t="shared" si="28"/>
        <v>10029.540000000001</v>
      </c>
      <c r="FF55" s="45">
        <f t="shared" si="28"/>
        <v>1869.62</v>
      </c>
      <c r="FG55" s="45">
        <f t="shared" si="28"/>
        <v>1915.03</v>
      </c>
      <c r="FH55" s="45">
        <f t="shared" si="28"/>
        <v>111862.89</v>
      </c>
      <c r="FI55" s="45">
        <f t="shared" si="28"/>
        <v>1985733.74</v>
      </c>
      <c r="FJ55" s="45">
        <f t="shared" si="28"/>
        <v>16227.6</v>
      </c>
      <c r="FK55" s="45">
        <f t="shared" si="28"/>
        <v>746.58</v>
      </c>
      <c r="FL55" s="45">
        <f t="shared" si="28"/>
        <v>1018860.0599999999</v>
      </c>
      <c r="FM55" s="45">
        <f t="shared" si="28"/>
        <v>260449.75</v>
      </c>
      <c r="FN55" s="45">
        <f t="shared" si="28"/>
        <v>150800.94</v>
      </c>
      <c r="FO55" s="45">
        <f t="shared" si="28"/>
        <v>549.68000000000006</v>
      </c>
      <c r="FP55" s="45">
        <f t="shared" si="28"/>
        <v>7052.6799999999994</v>
      </c>
      <c r="FQ55" s="45">
        <f t="shared" si="28"/>
        <v>1898.3</v>
      </c>
      <c r="FR55" s="45">
        <f t="shared" si="28"/>
        <v>1408033.19</v>
      </c>
      <c r="FS55" s="45">
        <f t="shared" si="28"/>
        <v>18551320.829999998</v>
      </c>
      <c r="FT55" s="45">
        <f t="shared" si="28"/>
        <v>5250304.8999999994</v>
      </c>
      <c r="FU55" s="45">
        <f t="shared" si="28"/>
        <v>4246123.32</v>
      </c>
      <c r="FV55" s="45">
        <f t="shared" si="28"/>
        <v>2471743.58</v>
      </c>
      <c r="FW55" s="45">
        <f t="shared" si="28"/>
        <v>131349.72999999998</v>
      </c>
      <c r="FX55" s="45">
        <f t="shared" si="28"/>
        <v>44106.720000000001</v>
      </c>
      <c r="FY55" s="45">
        <f t="shared" si="28"/>
        <v>456968.16</v>
      </c>
      <c r="FZ55" s="45">
        <f t="shared" si="28"/>
        <v>17761.13</v>
      </c>
      <c r="GA55" s="45">
        <f t="shared" si="28"/>
        <v>580.6</v>
      </c>
      <c r="GB55" s="45">
        <f t="shared" si="28"/>
        <v>138584.12</v>
      </c>
      <c r="GC55" s="45">
        <f t="shared" si="28"/>
        <v>111.74</v>
      </c>
      <c r="GD55" s="45">
        <f t="shared" si="28"/>
        <v>4303.42</v>
      </c>
      <c r="GE55" s="45">
        <f>GE48+GE42+GE36+GE32+GE21+GE11</f>
        <v>86900.940000000017</v>
      </c>
    </row>
    <row r="56" spans="1:188" ht="16.5" thickTop="1" x14ac:dyDescent="0.25">
      <c r="A56" s="48"/>
      <c r="B56"/>
      <c r="C56"/>
      <c r="W56" s="17"/>
      <c r="GA56" s="3" t="s">
        <v>12</v>
      </c>
    </row>
    <row r="57" spans="1:188" ht="15" x14ac:dyDescent="0.2">
      <c r="A57" s="48"/>
      <c r="B57"/>
      <c r="C57"/>
      <c r="GA57" s="4" t="s">
        <v>16</v>
      </c>
      <c r="GB57" s="2"/>
      <c r="GC57" s="2"/>
      <c r="GD57" s="2"/>
      <c r="GE57" s="2"/>
    </row>
    <row r="58" spans="1:188" ht="15" x14ac:dyDescent="0.2">
      <c r="GA58" s="2" t="s">
        <v>15</v>
      </c>
      <c r="GB58" s="2"/>
      <c r="GC58" s="2"/>
      <c r="GD58" s="2"/>
      <c r="GE58" s="7" t="s">
        <v>19</v>
      </c>
      <c r="GF58" s="2" t="s">
        <v>13</v>
      </c>
    </row>
    <row r="59" spans="1:188" ht="15" x14ac:dyDescent="0.2">
      <c r="GA59" s="2"/>
      <c r="GB59" s="2"/>
      <c r="GC59" s="2"/>
      <c r="GD59" s="2"/>
      <c r="GF59" s="2"/>
    </row>
    <row r="60" spans="1:188" ht="15" x14ac:dyDescent="0.2">
      <c r="GA60" s="1" t="s">
        <v>17</v>
      </c>
      <c r="GB60" s="2"/>
      <c r="GC60" s="2"/>
      <c r="GD60" s="2"/>
    </row>
    <row r="61" spans="1:188" ht="15" x14ac:dyDescent="0.2">
      <c r="GA61" s="1" t="s">
        <v>18</v>
      </c>
      <c r="GB61" s="2"/>
      <c r="GC61" s="2"/>
      <c r="GD61" s="2"/>
      <c r="GE61" s="2"/>
      <c r="GF61" s="2" t="s">
        <v>14</v>
      </c>
    </row>
  </sheetData>
  <mergeCells count="5">
    <mergeCell ref="A4:C4"/>
    <mergeCell ref="A5:C5"/>
    <mergeCell ref="A6:C6"/>
    <mergeCell ref="A7:C7"/>
    <mergeCell ref="A8:C8"/>
  </mergeCells>
  <phoneticPr fontId="0" type="noConversion"/>
  <pageMargins left="0.41" right="0.42" top="0.26" bottom="0.19" header="0.17" footer="0.16"/>
  <pageSetup paperSize="9" scale="50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sent to the TF</vt:lpstr>
    </vt:vector>
  </TitlesOfParts>
  <Company>MTA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MJL</dc:creator>
  <cp:lastModifiedBy>user</cp:lastModifiedBy>
  <cp:lastPrinted>2009-11-11T03:43:48Z</cp:lastPrinted>
  <dcterms:created xsi:type="dcterms:W3CDTF">2007-06-28T00:58:53Z</dcterms:created>
  <dcterms:modified xsi:type="dcterms:W3CDTF">2014-04-16T09:06:00Z</dcterms:modified>
</cp:coreProperties>
</file>