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60" yWindow="2370" windowWidth="11460" windowHeight="8190"/>
  </bookViews>
  <sheets>
    <sheet name="zadargaa" sheetId="24" r:id="rId1"/>
    <sheet name="negtgel-2009" sheetId="25" r:id="rId2"/>
  </sheets>
  <calcPr calcId="145621"/>
</workbook>
</file>

<file path=xl/calcChain.xml><?xml version="1.0" encoding="utf-8"?>
<calcChain xmlns="http://schemas.openxmlformats.org/spreadsheetml/2006/main">
  <c r="C52" i="24" l="1"/>
  <c r="C51" i="24"/>
  <c r="C50" i="24"/>
  <c r="C49" i="24"/>
  <c r="C47" i="24" s="1"/>
  <c r="C41" i="24" s="1"/>
  <c r="C48" i="24"/>
  <c r="C46" i="24"/>
  <c r="C45" i="24"/>
  <c r="C44" i="24"/>
  <c r="C43" i="24"/>
  <c r="C42" i="24"/>
  <c r="C40" i="24"/>
  <c r="C39" i="24"/>
  <c r="C38" i="24"/>
  <c r="C37" i="24"/>
  <c r="C36" i="24"/>
  <c r="C35" i="24"/>
  <c r="C34" i="24"/>
  <c r="C33" i="24"/>
  <c r="C31" i="24" s="1"/>
  <c r="C32" i="24"/>
  <c r="C30" i="24"/>
  <c r="C29" i="24"/>
  <c r="C28" i="24"/>
  <c r="C27" i="24"/>
  <c r="C26" i="24"/>
  <c r="C25" i="24"/>
  <c r="C24" i="24"/>
  <c r="C23" i="24"/>
  <c r="C22" i="24"/>
  <c r="C20" i="24" s="1"/>
  <c r="C21" i="24"/>
  <c r="C19" i="24"/>
  <c r="C18" i="24"/>
  <c r="C17" i="24"/>
  <c r="C16" i="24"/>
  <c r="C15" i="24"/>
  <c r="C14" i="24"/>
  <c r="C13" i="24"/>
  <c r="C10" i="24" s="1"/>
  <c r="C12" i="24"/>
  <c r="C11" i="24"/>
  <c r="C54" i="25"/>
  <c r="MW53" i="25"/>
  <c r="MV53" i="25"/>
  <c r="MU53" i="25"/>
  <c r="MT53" i="25"/>
  <c r="MS53" i="25"/>
  <c r="MR53" i="25"/>
  <c r="MQ53" i="25"/>
  <c r="MP53" i="25"/>
  <c r="MO53" i="25"/>
  <c r="MN53" i="25"/>
  <c r="MM53" i="25"/>
  <c r="ML53" i="25"/>
  <c r="MK53" i="25"/>
  <c r="MJ53" i="25"/>
  <c r="MI53" i="25"/>
  <c r="MH53" i="25"/>
  <c r="MG53" i="25"/>
  <c r="MF53" i="25"/>
  <c r="ME53" i="25"/>
  <c r="MD53" i="25"/>
  <c r="MC53" i="25"/>
  <c r="MB53" i="25"/>
  <c r="MA53" i="25"/>
  <c r="LZ53" i="25"/>
  <c r="LY53" i="25"/>
  <c r="LX53" i="25"/>
  <c r="LW53" i="25"/>
  <c r="LV53" i="25"/>
  <c r="LU53" i="25"/>
  <c r="LT53" i="25"/>
  <c r="LS53" i="25"/>
  <c r="LR53" i="25"/>
  <c r="LQ53" i="25"/>
  <c r="LP53" i="25"/>
  <c r="LO53" i="25"/>
  <c r="LN53" i="25"/>
  <c r="LM53" i="25"/>
  <c r="LL53" i="25"/>
  <c r="LK53" i="25"/>
  <c r="LJ53" i="25"/>
  <c r="LI53" i="25"/>
  <c r="LH53" i="25"/>
  <c r="LG53" i="25"/>
  <c r="LF53" i="25"/>
  <c r="LE53" i="25"/>
  <c r="LD53" i="25"/>
  <c r="LC53" i="25"/>
  <c r="LB53" i="25"/>
  <c r="LA53" i="25"/>
  <c r="KZ53" i="25"/>
  <c r="KY53" i="25"/>
  <c r="KX53" i="25"/>
  <c r="KW53" i="25"/>
  <c r="KV53" i="25"/>
  <c r="KU53" i="25"/>
  <c r="KT53" i="25"/>
  <c r="KS53" i="25"/>
  <c r="KR53" i="25"/>
  <c r="KQ53" i="25"/>
  <c r="KP53" i="25"/>
  <c r="KO53" i="25"/>
  <c r="KN53" i="25"/>
  <c r="KM53" i="25"/>
  <c r="KL53" i="25"/>
  <c r="KK53" i="25"/>
  <c r="KJ53" i="25"/>
  <c r="KI53" i="25"/>
  <c r="KH53" i="25"/>
  <c r="KG53" i="25"/>
  <c r="KF53" i="25"/>
  <c r="KE53" i="25"/>
  <c r="KD53" i="25"/>
  <c r="KC53" i="25"/>
  <c r="KB53" i="25"/>
  <c r="KA53" i="25"/>
  <c r="JZ53" i="25"/>
  <c r="JY53" i="25"/>
  <c r="JX53" i="25"/>
  <c r="JW53" i="25"/>
  <c r="JV53" i="25"/>
  <c r="JU53" i="25"/>
  <c r="JT53" i="25"/>
  <c r="JS53" i="25"/>
  <c r="JR53" i="25"/>
  <c r="JQ53" i="25"/>
  <c r="JP53" i="25"/>
  <c r="JO53" i="25"/>
  <c r="JN53" i="25"/>
  <c r="JM53" i="25"/>
  <c r="JL53" i="25"/>
  <c r="JK53" i="25"/>
  <c r="JJ53" i="25"/>
  <c r="JI53" i="25"/>
  <c r="JH53" i="25"/>
  <c r="JG53" i="25"/>
  <c r="JF53" i="25"/>
  <c r="JE53" i="25"/>
  <c r="JD53" i="25"/>
  <c r="JC53" i="25"/>
  <c r="JB53" i="25"/>
  <c r="JA53" i="25"/>
  <c r="IZ53" i="25"/>
  <c r="IY53" i="25"/>
  <c r="IX53" i="25"/>
  <c r="IW53" i="25"/>
  <c r="IV53" i="25"/>
  <c r="IU53" i="25"/>
  <c r="IT53" i="25"/>
  <c r="IS53" i="25"/>
  <c r="IR53" i="25"/>
  <c r="IQ53" i="25"/>
  <c r="IP53" i="25"/>
  <c r="IO53" i="25"/>
  <c r="IN53" i="25"/>
  <c r="IM53" i="25"/>
  <c r="IL53" i="25"/>
  <c r="IK53" i="25"/>
  <c r="IJ53" i="25"/>
  <c r="II53" i="25"/>
  <c r="IH53" i="25"/>
  <c r="IG53" i="25"/>
  <c r="IF53" i="25"/>
  <c r="IE53" i="25"/>
  <c r="ID53" i="25"/>
  <c r="IC53" i="25"/>
  <c r="IB53" i="25"/>
  <c r="IA53" i="25"/>
  <c r="HZ53" i="25"/>
  <c r="HY53" i="25"/>
  <c r="HX53" i="25"/>
  <c r="HW53" i="25"/>
  <c r="HV53" i="25"/>
  <c r="HU53" i="25"/>
  <c r="HT53" i="25"/>
  <c r="HS53" i="25"/>
  <c r="HR53" i="25"/>
  <c r="HQ53" i="25"/>
  <c r="HP53" i="25"/>
  <c r="HO53" i="25"/>
  <c r="HN53" i="25"/>
  <c r="HM53" i="25"/>
  <c r="HL53" i="25"/>
  <c r="HK53" i="25"/>
  <c r="HJ53" i="25"/>
  <c r="HI53" i="25"/>
  <c r="HH53" i="25"/>
  <c r="HG53" i="25"/>
  <c r="HF53" i="25"/>
  <c r="HE53" i="25"/>
  <c r="HD53" i="25"/>
  <c r="HC53" i="25"/>
  <c r="HB53" i="25"/>
  <c r="HA53" i="25"/>
  <c r="GZ53" i="25"/>
  <c r="GY53" i="25"/>
  <c r="GX53" i="25"/>
  <c r="GW53" i="25"/>
  <c r="GV53" i="25"/>
  <c r="GU53" i="25"/>
  <c r="GT53" i="25"/>
  <c r="GS53" i="25"/>
  <c r="GR53" i="25"/>
  <c r="GQ53" i="25"/>
  <c r="GP53" i="25"/>
  <c r="GO53" i="25"/>
  <c r="GN53" i="25"/>
  <c r="GM53" i="25"/>
  <c r="GL53" i="25"/>
  <c r="GK53" i="25"/>
  <c r="GJ53" i="25"/>
  <c r="GI53" i="25"/>
  <c r="GH53" i="25"/>
  <c r="GG53" i="25"/>
  <c r="GF53" i="25"/>
  <c r="GE53" i="25"/>
  <c r="GD53" i="25"/>
  <c r="GC53" i="25"/>
  <c r="GB53" i="25"/>
  <c r="GA53" i="25"/>
  <c r="FZ53" i="25"/>
  <c r="FY53" i="25"/>
  <c r="FX53" i="25"/>
  <c r="FW53" i="25"/>
  <c r="FV53" i="25"/>
  <c r="FU53" i="25"/>
  <c r="FT53" i="25"/>
  <c r="FS53" i="25"/>
  <c r="FR53" i="25"/>
  <c r="FQ53" i="25"/>
  <c r="FP53" i="25"/>
  <c r="FO53" i="25"/>
  <c r="FN53" i="25"/>
  <c r="FM53" i="25"/>
  <c r="FL53" i="25"/>
  <c r="FK53" i="25"/>
  <c r="FJ53" i="25"/>
  <c r="FI53" i="25"/>
  <c r="FH53" i="25"/>
  <c r="FG53" i="25"/>
  <c r="FF53" i="25"/>
  <c r="FE53" i="25"/>
  <c r="FD53" i="25"/>
  <c r="FC53" i="25"/>
  <c r="FB53" i="25"/>
  <c r="FA53" i="25"/>
  <c r="EZ53" i="25"/>
  <c r="EY53" i="25"/>
  <c r="EX53" i="25"/>
  <c r="EW53" i="25"/>
  <c r="EV53" i="25"/>
  <c r="EU53" i="25"/>
  <c r="ET53" i="25"/>
  <c r="ES53" i="25"/>
  <c r="ER53" i="25"/>
  <c r="EQ53" i="25"/>
  <c r="EP53" i="25"/>
  <c r="EO53" i="25"/>
  <c r="EN53" i="25"/>
  <c r="EM53" i="25"/>
  <c r="EL53" i="25"/>
  <c r="EK53" i="25"/>
  <c r="EJ53" i="25"/>
  <c r="EI53" i="25"/>
  <c r="EH53" i="25"/>
  <c r="EG53" i="25"/>
  <c r="EF53" i="25"/>
  <c r="EE53" i="25"/>
  <c r="ED53" i="25"/>
  <c r="EC53" i="25"/>
  <c r="EB53" i="25"/>
  <c r="EA53" i="25"/>
  <c r="DZ53" i="25"/>
  <c r="DY53" i="25"/>
  <c r="DX53" i="25"/>
  <c r="DW53" i="25"/>
  <c r="DV53" i="25"/>
  <c r="DU53" i="25"/>
  <c r="DT53" i="25"/>
  <c r="DS53" i="25"/>
  <c r="DR53" i="25"/>
  <c r="DQ53" i="25"/>
  <c r="DP53" i="25"/>
  <c r="DO53" i="25"/>
  <c r="DN53" i="25"/>
  <c r="DM53" i="25"/>
  <c r="DL53" i="25"/>
  <c r="DK53" i="25"/>
  <c r="DJ53" i="25"/>
  <c r="DI53" i="25"/>
  <c r="DH53" i="25"/>
  <c r="DG53" i="25"/>
  <c r="DF53" i="25"/>
  <c r="DE53" i="25"/>
  <c r="DD53" i="25"/>
  <c r="DC53" i="25"/>
  <c r="DB53" i="25"/>
  <c r="DA53" i="25"/>
  <c r="CZ53" i="25"/>
  <c r="CY53" i="25"/>
  <c r="CX53" i="25"/>
  <c r="CW53" i="25"/>
  <c r="CV53" i="25"/>
  <c r="CU53" i="25"/>
  <c r="CT53" i="25"/>
  <c r="CS53" i="25"/>
  <c r="CR53" i="25"/>
  <c r="CQ53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C52" i="25"/>
  <c r="JL51" i="25"/>
  <c r="HR51" i="25"/>
  <c r="FM51" i="25"/>
  <c r="CJ51" i="25"/>
  <c r="BJ51" i="25"/>
  <c r="AR51" i="25"/>
  <c r="C51" i="25" s="1"/>
  <c r="ML50" i="25"/>
  <c r="IP50" i="25"/>
  <c r="HR50" i="25"/>
  <c r="EP50" i="25"/>
  <c r="BC50" i="25"/>
  <c r="AE50" i="25"/>
  <c r="C50" i="25"/>
  <c r="MW49" i="25"/>
  <c r="MV49" i="25"/>
  <c r="MU49" i="25"/>
  <c r="MT49" i="25"/>
  <c r="MS49" i="25"/>
  <c r="MR49" i="25"/>
  <c r="MQ49" i="25"/>
  <c r="MP49" i="25"/>
  <c r="MO49" i="25"/>
  <c r="MN49" i="25"/>
  <c r="MM49" i="25"/>
  <c r="ML49" i="25"/>
  <c r="MK49" i="25"/>
  <c r="MJ49" i="25"/>
  <c r="MI49" i="25"/>
  <c r="MH49" i="25"/>
  <c r="MG49" i="25"/>
  <c r="MF49" i="25"/>
  <c r="ME49" i="25"/>
  <c r="MD49" i="25"/>
  <c r="MC49" i="25"/>
  <c r="MB49" i="25"/>
  <c r="MA49" i="25"/>
  <c r="LZ49" i="25"/>
  <c r="LY49" i="25"/>
  <c r="LX49" i="25"/>
  <c r="LW49" i="25"/>
  <c r="LV49" i="25"/>
  <c r="LU49" i="25"/>
  <c r="LT49" i="25"/>
  <c r="LS49" i="25"/>
  <c r="LR49" i="25"/>
  <c r="LQ49" i="25"/>
  <c r="LP49" i="25"/>
  <c r="LO49" i="25"/>
  <c r="LN49" i="25"/>
  <c r="LM49" i="25"/>
  <c r="LL49" i="25"/>
  <c r="LK49" i="25"/>
  <c r="LJ49" i="25"/>
  <c r="LI49" i="25"/>
  <c r="LH49" i="25"/>
  <c r="LG49" i="25"/>
  <c r="LF49" i="25"/>
  <c r="LE49" i="25"/>
  <c r="LD49" i="25"/>
  <c r="LC49" i="25"/>
  <c r="LB49" i="25"/>
  <c r="LA49" i="25"/>
  <c r="KZ49" i="25"/>
  <c r="KY49" i="25"/>
  <c r="KX49" i="25"/>
  <c r="KW49" i="25"/>
  <c r="KV49" i="25"/>
  <c r="KU49" i="25"/>
  <c r="KT49" i="25"/>
  <c r="KS49" i="25"/>
  <c r="KR49" i="25"/>
  <c r="KQ49" i="25"/>
  <c r="KP49" i="25"/>
  <c r="KO49" i="25"/>
  <c r="KN49" i="25"/>
  <c r="KM49" i="25"/>
  <c r="KL49" i="25"/>
  <c r="KK49" i="25"/>
  <c r="KJ49" i="25"/>
  <c r="KI49" i="25"/>
  <c r="KH49" i="25"/>
  <c r="KG49" i="25"/>
  <c r="KF49" i="25"/>
  <c r="KE49" i="25"/>
  <c r="KD49" i="25"/>
  <c r="KC49" i="25"/>
  <c r="KB49" i="25"/>
  <c r="KA49" i="25"/>
  <c r="JZ49" i="25"/>
  <c r="JY49" i="25"/>
  <c r="JX49" i="25"/>
  <c r="JW49" i="25"/>
  <c r="JV49" i="25"/>
  <c r="JU49" i="25"/>
  <c r="JT49" i="25"/>
  <c r="JS49" i="25"/>
  <c r="JR49" i="25"/>
  <c r="JQ49" i="25"/>
  <c r="JP49" i="25"/>
  <c r="JO49" i="25"/>
  <c r="JN49" i="25"/>
  <c r="JM49" i="25"/>
  <c r="JL49" i="25"/>
  <c r="JK49" i="25"/>
  <c r="JJ49" i="25"/>
  <c r="JI49" i="25"/>
  <c r="JH49" i="25"/>
  <c r="JG49" i="25"/>
  <c r="JF49" i="25"/>
  <c r="JE49" i="25"/>
  <c r="JD49" i="25"/>
  <c r="JC49" i="25"/>
  <c r="JB49" i="25"/>
  <c r="JA49" i="25"/>
  <c r="IZ49" i="25"/>
  <c r="IY49" i="25"/>
  <c r="IX49" i="25"/>
  <c r="IW49" i="25"/>
  <c r="IV49" i="25"/>
  <c r="IU49" i="25"/>
  <c r="IT49" i="25"/>
  <c r="IS49" i="25"/>
  <c r="IR49" i="25"/>
  <c r="IQ49" i="25"/>
  <c r="IP49" i="25"/>
  <c r="IO49" i="25"/>
  <c r="IN49" i="25"/>
  <c r="IM49" i="25"/>
  <c r="IL49" i="25"/>
  <c r="IK49" i="25"/>
  <c r="IJ49" i="25"/>
  <c r="II49" i="25"/>
  <c r="IH49" i="25"/>
  <c r="IG49" i="25"/>
  <c r="IF49" i="25"/>
  <c r="IE49" i="25"/>
  <c r="ID49" i="25"/>
  <c r="IC49" i="25"/>
  <c r="IB49" i="25"/>
  <c r="IA49" i="25"/>
  <c r="HZ49" i="25"/>
  <c r="HY49" i="25"/>
  <c r="HX49" i="25"/>
  <c r="HW49" i="25"/>
  <c r="HV49" i="25"/>
  <c r="HU49" i="25"/>
  <c r="HT49" i="25"/>
  <c r="HS49" i="25"/>
  <c r="HR49" i="25"/>
  <c r="HQ49" i="25"/>
  <c r="HP49" i="25"/>
  <c r="HO49" i="25"/>
  <c r="HN49" i="25"/>
  <c r="HM49" i="25"/>
  <c r="HL49" i="25"/>
  <c r="HK49" i="25"/>
  <c r="HJ49" i="25"/>
  <c r="HI49" i="25"/>
  <c r="HH49" i="25"/>
  <c r="HG49" i="25"/>
  <c r="HF49" i="25"/>
  <c r="HE49" i="25"/>
  <c r="HD49" i="25"/>
  <c r="HC49" i="25"/>
  <c r="HB49" i="25"/>
  <c r="HA49" i="25"/>
  <c r="GZ49" i="25"/>
  <c r="GY49" i="25"/>
  <c r="GX49" i="25"/>
  <c r="GW49" i="25"/>
  <c r="GV49" i="25"/>
  <c r="GU49" i="25"/>
  <c r="GT49" i="25"/>
  <c r="GS49" i="25"/>
  <c r="GR49" i="25"/>
  <c r="GQ49" i="25"/>
  <c r="GP49" i="25"/>
  <c r="GO49" i="25"/>
  <c r="GN49" i="25"/>
  <c r="GM49" i="25"/>
  <c r="GL49" i="25"/>
  <c r="GK49" i="25"/>
  <c r="GJ49" i="25"/>
  <c r="GI49" i="25"/>
  <c r="GH49" i="25"/>
  <c r="GG49" i="25"/>
  <c r="GF49" i="25"/>
  <c r="GE49" i="25"/>
  <c r="GD49" i="25"/>
  <c r="GC49" i="25"/>
  <c r="GB49" i="25"/>
  <c r="GA49" i="25"/>
  <c r="FZ49" i="25"/>
  <c r="FY49" i="25"/>
  <c r="FX49" i="25"/>
  <c r="FW49" i="25"/>
  <c r="FV49" i="25"/>
  <c r="FU49" i="25"/>
  <c r="FT49" i="25"/>
  <c r="FS49" i="25"/>
  <c r="FR49" i="25"/>
  <c r="FQ49" i="25"/>
  <c r="FP49" i="25"/>
  <c r="FO49" i="25"/>
  <c r="FN49" i="25"/>
  <c r="FM49" i="25"/>
  <c r="FL49" i="25"/>
  <c r="FK49" i="25"/>
  <c r="FJ49" i="25"/>
  <c r="FI49" i="25"/>
  <c r="FH49" i="25"/>
  <c r="FG49" i="25"/>
  <c r="FF49" i="25"/>
  <c r="FE49" i="25"/>
  <c r="FD49" i="25"/>
  <c r="FC49" i="25"/>
  <c r="FB49" i="25"/>
  <c r="FA49" i="25"/>
  <c r="EZ49" i="25"/>
  <c r="EY49" i="25"/>
  <c r="EX49" i="25"/>
  <c r="EW49" i="25"/>
  <c r="EV49" i="25"/>
  <c r="EU49" i="25"/>
  <c r="ET49" i="25"/>
  <c r="ES49" i="25"/>
  <c r="ER49" i="25"/>
  <c r="EQ49" i="25"/>
  <c r="EP49" i="25"/>
  <c r="EO49" i="25"/>
  <c r="EN49" i="25"/>
  <c r="EM49" i="25"/>
  <c r="EL49" i="25"/>
  <c r="EK49" i="25"/>
  <c r="EJ49" i="25"/>
  <c r="EI49" i="25"/>
  <c r="EH49" i="25"/>
  <c r="EG49" i="25"/>
  <c r="EF49" i="25"/>
  <c r="EE49" i="25"/>
  <c r="ED49" i="25"/>
  <c r="EC49" i="25"/>
  <c r="EB49" i="25"/>
  <c r="EA49" i="25"/>
  <c r="DZ49" i="25"/>
  <c r="DY49" i="25"/>
  <c r="DX49" i="25"/>
  <c r="DW49" i="25"/>
  <c r="DV49" i="25"/>
  <c r="DU49" i="25"/>
  <c r="DT49" i="25"/>
  <c r="DS49" i="25"/>
  <c r="DR49" i="25"/>
  <c r="DQ49" i="25"/>
  <c r="DP49" i="25"/>
  <c r="DO49" i="25"/>
  <c r="DN49" i="25"/>
  <c r="DM49" i="25"/>
  <c r="DL49" i="25"/>
  <c r="DK49" i="25"/>
  <c r="DJ49" i="25"/>
  <c r="DI49" i="25"/>
  <c r="DH49" i="25"/>
  <c r="DG49" i="25"/>
  <c r="DF49" i="25"/>
  <c r="DE49" i="25"/>
  <c r="DD49" i="25"/>
  <c r="DC49" i="25"/>
  <c r="DB49" i="25"/>
  <c r="DA49" i="25"/>
  <c r="CZ49" i="25"/>
  <c r="CY49" i="25"/>
  <c r="CX49" i="25"/>
  <c r="CW49" i="25"/>
  <c r="CV49" i="25"/>
  <c r="CU49" i="25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EN48" i="25"/>
  <c r="C48" i="25"/>
  <c r="C47" i="25"/>
  <c r="ML46" i="25"/>
  <c r="LV46" i="25"/>
  <c r="JN46" i="25"/>
  <c r="JJ46" i="25"/>
  <c r="IP46" i="25"/>
  <c r="IK46" i="25"/>
  <c r="IH46" i="25"/>
  <c r="IB46" i="25"/>
  <c r="HM46" i="25"/>
  <c r="GX46" i="25"/>
  <c r="FY46" i="25"/>
  <c r="FY43" i="25" s="1"/>
  <c r="FT46" i="25"/>
  <c r="FR46" i="25"/>
  <c r="EY46" i="25"/>
  <c r="EN46" i="25"/>
  <c r="EB46" i="25"/>
  <c r="DK46" i="25"/>
  <c r="CS46" i="25"/>
  <c r="BT46" i="25"/>
  <c r="BT43" i="25" s="1"/>
  <c r="BQ46" i="25"/>
  <c r="BN46" i="25"/>
  <c r="BF46" i="25"/>
  <c r="BE46" i="25"/>
  <c r="BE43" i="25" s="1"/>
  <c r="BB46" i="25"/>
  <c r="AX46" i="25"/>
  <c r="AL46" i="25"/>
  <c r="Z46" i="25"/>
  <c r="C46" i="25" s="1"/>
  <c r="ML45" i="25"/>
  <c r="JL45" i="25"/>
  <c r="EN45" i="25"/>
  <c r="EN43" i="25" s="1"/>
  <c r="EB45" i="25"/>
  <c r="DK45" i="25"/>
  <c r="CH45" i="25"/>
  <c r="BL45" i="25"/>
  <c r="BL43" i="25" s="1"/>
  <c r="AM45" i="25"/>
  <c r="F45" i="25"/>
  <c r="C45" i="25" s="1"/>
  <c r="KP44" i="25"/>
  <c r="FC44" i="25"/>
  <c r="EN44" i="25"/>
  <c r="CP44" i="25"/>
  <c r="C44" i="25"/>
  <c r="MW43" i="25"/>
  <c r="MV43" i="25"/>
  <c r="MU43" i="25"/>
  <c r="MT43" i="25"/>
  <c r="MS43" i="25"/>
  <c r="MR43" i="25"/>
  <c r="MQ43" i="25"/>
  <c r="MP43" i="25"/>
  <c r="MO43" i="25"/>
  <c r="MN43" i="25"/>
  <c r="MM43" i="25"/>
  <c r="ML43" i="25"/>
  <c r="MK43" i="25"/>
  <c r="MJ43" i="25"/>
  <c r="MI43" i="25"/>
  <c r="MH43" i="25"/>
  <c r="MG43" i="25"/>
  <c r="MF43" i="25"/>
  <c r="ME43" i="25"/>
  <c r="MD43" i="25"/>
  <c r="MC43" i="25"/>
  <c r="MB43" i="25"/>
  <c r="MA43" i="25"/>
  <c r="LZ43" i="25"/>
  <c r="LY43" i="25"/>
  <c r="LX43" i="25"/>
  <c r="LW43" i="25"/>
  <c r="LV43" i="25"/>
  <c r="LU43" i="25"/>
  <c r="LT43" i="25"/>
  <c r="LS43" i="25"/>
  <c r="LR43" i="25"/>
  <c r="LQ43" i="25"/>
  <c r="LP43" i="25"/>
  <c r="LO43" i="25"/>
  <c r="LN43" i="25"/>
  <c r="LM43" i="25"/>
  <c r="LL43" i="25"/>
  <c r="LK43" i="25"/>
  <c r="LJ43" i="25"/>
  <c r="LI43" i="25"/>
  <c r="LH43" i="25"/>
  <c r="LG43" i="25"/>
  <c r="LF43" i="25"/>
  <c r="LE43" i="25"/>
  <c r="LD43" i="25"/>
  <c r="LC43" i="25"/>
  <c r="LB43" i="25"/>
  <c r="LA43" i="25"/>
  <c r="KZ43" i="25"/>
  <c r="KY43" i="25"/>
  <c r="KX43" i="25"/>
  <c r="KW43" i="25"/>
  <c r="KV43" i="25"/>
  <c r="KU43" i="25"/>
  <c r="KT43" i="25"/>
  <c r="KS43" i="25"/>
  <c r="KR43" i="25"/>
  <c r="KQ43" i="25"/>
  <c r="KP43" i="25"/>
  <c r="KO43" i="25"/>
  <c r="KN43" i="25"/>
  <c r="KM43" i="25"/>
  <c r="KL43" i="25"/>
  <c r="KK43" i="25"/>
  <c r="KJ43" i="25"/>
  <c r="KI43" i="25"/>
  <c r="KH43" i="25"/>
  <c r="KG43" i="25"/>
  <c r="KF43" i="25"/>
  <c r="KE43" i="25"/>
  <c r="KD43" i="25"/>
  <c r="KC43" i="25"/>
  <c r="KB43" i="25"/>
  <c r="KA43" i="25"/>
  <c r="JZ43" i="25"/>
  <c r="JY43" i="25"/>
  <c r="JX43" i="25"/>
  <c r="JW43" i="25"/>
  <c r="JV43" i="25"/>
  <c r="JU43" i="25"/>
  <c r="JT43" i="25"/>
  <c r="JS43" i="25"/>
  <c r="JR43" i="25"/>
  <c r="JQ43" i="25"/>
  <c r="JP43" i="25"/>
  <c r="JO43" i="25"/>
  <c r="JN43" i="25"/>
  <c r="JM43" i="25"/>
  <c r="JL43" i="25"/>
  <c r="JK43" i="25"/>
  <c r="JJ43" i="25"/>
  <c r="JI43" i="25"/>
  <c r="JH43" i="25"/>
  <c r="JG43" i="25"/>
  <c r="JF43" i="25"/>
  <c r="JE43" i="25"/>
  <c r="JD43" i="25"/>
  <c r="JC43" i="25"/>
  <c r="JB43" i="25"/>
  <c r="JA43" i="25"/>
  <c r="IZ43" i="25"/>
  <c r="IY43" i="25"/>
  <c r="IX43" i="25"/>
  <c r="IW43" i="25"/>
  <c r="IV43" i="25"/>
  <c r="IU43" i="25"/>
  <c r="IT43" i="25"/>
  <c r="IS43" i="25"/>
  <c r="IR43" i="25"/>
  <c r="IQ43" i="25"/>
  <c r="IP43" i="25"/>
  <c r="IO43" i="25"/>
  <c r="IN43" i="25"/>
  <c r="IM43" i="25"/>
  <c r="IL43" i="25"/>
  <c r="IK43" i="25"/>
  <c r="IJ43" i="25"/>
  <c r="II43" i="25"/>
  <c r="IH43" i="25"/>
  <c r="IG43" i="25"/>
  <c r="IF43" i="25"/>
  <c r="IE43" i="25"/>
  <c r="ID43" i="25"/>
  <c r="IC43" i="25"/>
  <c r="IB43" i="25"/>
  <c r="IA43" i="25"/>
  <c r="HZ43" i="25"/>
  <c r="HY43" i="25"/>
  <c r="HX43" i="25"/>
  <c r="HW43" i="25"/>
  <c r="HV43" i="25"/>
  <c r="HU43" i="25"/>
  <c r="HT43" i="25"/>
  <c r="HS43" i="25"/>
  <c r="HR43" i="25"/>
  <c r="HQ43" i="25"/>
  <c r="HP43" i="25"/>
  <c r="HO43" i="25"/>
  <c r="HN43" i="25"/>
  <c r="HM43" i="25"/>
  <c r="HL43" i="25"/>
  <c r="HK43" i="25"/>
  <c r="HJ43" i="25"/>
  <c r="HI43" i="25"/>
  <c r="HH43" i="25"/>
  <c r="HG43" i="25"/>
  <c r="HF43" i="25"/>
  <c r="HE43" i="25"/>
  <c r="HD43" i="25"/>
  <c r="HC43" i="25"/>
  <c r="HB43" i="25"/>
  <c r="HA43" i="25"/>
  <c r="GZ43" i="25"/>
  <c r="GY43" i="25"/>
  <c r="GX43" i="25"/>
  <c r="GW43" i="25"/>
  <c r="GV43" i="25"/>
  <c r="GU43" i="25"/>
  <c r="GT43" i="25"/>
  <c r="GS43" i="25"/>
  <c r="GR43" i="25"/>
  <c r="GQ43" i="25"/>
  <c r="GP43" i="25"/>
  <c r="GO43" i="25"/>
  <c r="GN43" i="25"/>
  <c r="GM43" i="25"/>
  <c r="GL43" i="25"/>
  <c r="GK43" i="25"/>
  <c r="GJ43" i="25"/>
  <c r="GI43" i="25"/>
  <c r="GH43" i="25"/>
  <c r="GG43" i="25"/>
  <c r="GF43" i="25"/>
  <c r="GE43" i="25"/>
  <c r="GD43" i="25"/>
  <c r="GC43" i="25"/>
  <c r="GB43" i="25"/>
  <c r="GA43" i="25"/>
  <c r="FZ43" i="25"/>
  <c r="FX43" i="25"/>
  <c r="FW43" i="25"/>
  <c r="FV43" i="25"/>
  <c r="FU43" i="25"/>
  <c r="FT43" i="25"/>
  <c r="FS43" i="25"/>
  <c r="FR43" i="25"/>
  <c r="FQ43" i="25"/>
  <c r="FP43" i="25"/>
  <c r="FO43" i="25"/>
  <c r="FN43" i="25"/>
  <c r="FM43" i="25"/>
  <c r="FL43" i="25"/>
  <c r="FK43" i="25"/>
  <c r="FJ43" i="25"/>
  <c r="FI43" i="25"/>
  <c r="FH43" i="25"/>
  <c r="FG43" i="25"/>
  <c r="FF43" i="25"/>
  <c r="FE43" i="25"/>
  <c r="FD43" i="25"/>
  <c r="FC43" i="25"/>
  <c r="FB43" i="25"/>
  <c r="FA43" i="25"/>
  <c r="EZ43" i="25"/>
  <c r="EY43" i="25"/>
  <c r="EX43" i="25"/>
  <c r="EW43" i="25"/>
  <c r="EV43" i="25"/>
  <c r="EU43" i="25"/>
  <c r="ET43" i="25"/>
  <c r="ES43" i="25"/>
  <c r="ER43" i="25"/>
  <c r="EQ43" i="25"/>
  <c r="EP43" i="25"/>
  <c r="EO43" i="25"/>
  <c r="EM43" i="25"/>
  <c r="EL43" i="25"/>
  <c r="EK43" i="25"/>
  <c r="EJ43" i="25"/>
  <c r="EI43" i="25"/>
  <c r="EH43" i="25"/>
  <c r="EG43" i="25"/>
  <c r="EF43" i="25"/>
  <c r="EE43" i="25"/>
  <c r="ED43" i="25"/>
  <c r="EC43" i="25"/>
  <c r="EB43" i="25"/>
  <c r="EA43" i="25"/>
  <c r="DZ43" i="25"/>
  <c r="DY43" i="25"/>
  <c r="DX43" i="25"/>
  <c r="DW43" i="25"/>
  <c r="DV43" i="25"/>
  <c r="DU43" i="25"/>
  <c r="DT43" i="25"/>
  <c r="DS43" i="25"/>
  <c r="DR43" i="25"/>
  <c r="DQ43" i="25"/>
  <c r="DP43" i="25"/>
  <c r="DO43" i="25"/>
  <c r="DN43" i="25"/>
  <c r="DM43" i="25"/>
  <c r="DL43" i="25"/>
  <c r="DK43" i="25"/>
  <c r="DJ43" i="25"/>
  <c r="DI43" i="25"/>
  <c r="DH43" i="25"/>
  <c r="DG43" i="25"/>
  <c r="DF43" i="25"/>
  <c r="DE43" i="25"/>
  <c r="DD43" i="25"/>
  <c r="DC43" i="25"/>
  <c r="DB43" i="25"/>
  <c r="DA43" i="25"/>
  <c r="CZ43" i="25"/>
  <c r="CY43" i="25"/>
  <c r="CX43" i="25"/>
  <c r="CW43" i="25"/>
  <c r="CV43" i="25"/>
  <c r="CU43" i="25"/>
  <c r="CT43" i="25"/>
  <c r="CS43" i="25"/>
  <c r="CR43" i="25"/>
  <c r="CQ43" i="25"/>
  <c r="CP43" i="25"/>
  <c r="CO43" i="25"/>
  <c r="CN43" i="25"/>
  <c r="CM43" i="25"/>
  <c r="CL43" i="25"/>
  <c r="CK43" i="25"/>
  <c r="CJ43" i="25"/>
  <c r="CI43" i="25"/>
  <c r="CH43" i="25"/>
  <c r="CG43" i="25"/>
  <c r="CF43" i="25"/>
  <c r="CE43" i="25"/>
  <c r="CD43" i="25"/>
  <c r="CC43" i="25"/>
  <c r="CB43" i="25"/>
  <c r="CA43" i="25"/>
  <c r="BZ43" i="25"/>
  <c r="BY43" i="25"/>
  <c r="BX43" i="25"/>
  <c r="BW43" i="25"/>
  <c r="BV43" i="25"/>
  <c r="BU43" i="25"/>
  <c r="BS43" i="25"/>
  <c r="BR43" i="25"/>
  <c r="BQ43" i="25"/>
  <c r="BP43" i="25"/>
  <c r="BO43" i="25"/>
  <c r="BN43" i="25"/>
  <c r="BM43" i="25"/>
  <c r="BK43" i="25"/>
  <c r="BJ43" i="25"/>
  <c r="BI43" i="25"/>
  <c r="BH43" i="25"/>
  <c r="BG43" i="25"/>
  <c r="BF43" i="25"/>
  <c r="BD43" i="25"/>
  <c r="BC43" i="25"/>
  <c r="BB43" i="25"/>
  <c r="BA43" i="25"/>
  <c r="AZ43" i="25"/>
  <c r="AY43" i="25"/>
  <c r="AX43" i="25"/>
  <c r="AW43" i="25"/>
  <c r="AV43" i="25"/>
  <c r="AU43" i="25"/>
  <c r="AT43" i="25"/>
  <c r="AS43" i="25"/>
  <c r="AR43" i="25"/>
  <c r="AQ43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2" i="25"/>
  <c r="C41" i="25"/>
  <c r="MW40" i="25"/>
  <c r="MV40" i="25"/>
  <c r="MU40" i="25"/>
  <c r="MT40" i="25"/>
  <c r="MS40" i="25"/>
  <c r="MR40" i="25"/>
  <c r="MQ40" i="25"/>
  <c r="MP40" i="25"/>
  <c r="MO40" i="25"/>
  <c r="MN40" i="25"/>
  <c r="MM40" i="25"/>
  <c r="ML40" i="25"/>
  <c r="MK40" i="25"/>
  <c r="MJ40" i="25"/>
  <c r="MI40" i="25"/>
  <c r="MH40" i="25"/>
  <c r="MG40" i="25"/>
  <c r="MF40" i="25"/>
  <c r="ME40" i="25"/>
  <c r="MD40" i="25"/>
  <c r="MC40" i="25"/>
  <c r="MB40" i="25"/>
  <c r="MA40" i="25"/>
  <c r="LZ40" i="25"/>
  <c r="LY40" i="25"/>
  <c r="LX40" i="25"/>
  <c r="LW40" i="25"/>
  <c r="LV40" i="25"/>
  <c r="LU40" i="25"/>
  <c r="LT40" i="25"/>
  <c r="LS40" i="25"/>
  <c r="LR40" i="25"/>
  <c r="LQ40" i="25"/>
  <c r="LP40" i="25"/>
  <c r="LO40" i="25"/>
  <c r="LN40" i="25"/>
  <c r="LM40" i="25"/>
  <c r="LL40" i="25"/>
  <c r="LK40" i="25"/>
  <c r="LJ40" i="25"/>
  <c r="LI40" i="25"/>
  <c r="LH40" i="25"/>
  <c r="LG40" i="25"/>
  <c r="LF40" i="25"/>
  <c r="LE40" i="25"/>
  <c r="LD40" i="25"/>
  <c r="LC40" i="25"/>
  <c r="LB40" i="25"/>
  <c r="LA40" i="25"/>
  <c r="KZ40" i="25"/>
  <c r="KY40" i="25"/>
  <c r="KX40" i="25"/>
  <c r="KW40" i="25"/>
  <c r="KV40" i="25"/>
  <c r="KU40" i="25"/>
  <c r="KT40" i="25"/>
  <c r="KS40" i="25"/>
  <c r="KR40" i="25"/>
  <c r="KQ40" i="25"/>
  <c r="KP40" i="25"/>
  <c r="KO40" i="25"/>
  <c r="KN40" i="25"/>
  <c r="KM40" i="25"/>
  <c r="KL40" i="25"/>
  <c r="KK40" i="25"/>
  <c r="KJ40" i="25"/>
  <c r="KI40" i="25"/>
  <c r="KH40" i="25"/>
  <c r="KG40" i="25"/>
  <c r="KF40" i="25"/>
  <c r="KE40" i="25"/>
  <c r="KD40" i="25"/>
  <c r="KC40" i="25"/>
  <c r="KB40" i="25"/>
  <c r="KA40" i="25"/>
  <c r="JZ40" i="25"/>
  <c r="JY40" i="25"/>
  <c r="JX40" i="25"/>
  <c r="JW40" i="25"/>
  <c r="JV40" i="25"/>
  <c r="JU40" i="25"/>
  <c r="JT40" i="25"/>
  <c r="JS40" i="25"/>
  <c r="JR40" i="25"/>
  <c r="JQ40" i="25"/>
  <c r="JP40" i="25"/>
  <c r="JO40" i="25"/>
  <c r="JN40" i="25"/>
  <c r="JM40" i="25"/>
  <c r="JL40" i="25"/>
  <c r="JK40" i="25"/>
  <c r="JJ40" i="25"/>
  <c r="JI40" i="25"/>
  <c r="JH40" i="25"/>
  <c r="JG40" i="25"/>
  <c r="JF40" i="25"/>
  <c r="JE40" i="25"/>
  <c r="JD40" i="25"/>
  <c r="JC40" i="25"/>
  <c r="JB40" i="25"/>
  <c r="JA40" i="25"/>
  <c r="IZ40" i="25"/>
  <c r="IY40" i="25"/>
  <c r="IX40" i="25"/>
  <c r="IW40" i="25"/>
  <c r="IV40" i="25"/>
  <c r="IU40" i="25"/>
  <c r="IT40" i="25"/>
  <c r="IS40" i="25"/>
  <c r="IR40" i="25"/>
  <c r="IQ40" i="25"/>
  <c r="IP40" i="25"/>
  <c r="IO40" i="25"/>
  <c r="IN40" i="25"/>
  <c r="IM40" i="25"/>
  <c r="IL40" i="25"/>
  <c r="IK40" i="25"/>
  <c r="IJ40" i="25"/>
  <c r="II40" i="25"/>
  <c r="IH40" i="25"/>
  <c r="IG40" i="25"/>
  <c r="IF40" i="25"/>
  <c r="IE40" i="25"/>
  <c r="ID40" i="25"/>
  <c r="IC40" i="25"/>
  <c r="IB40" i="25"/>
  <c r="IA40" i="25"/>
  <c r="HZ40" i="25"/>
  <c r="HY40" i="25"/>
  <c r="HX40" i="25"/>
  <c r="HW40" i="25"/>
  <c r="HV40" i="25"/>
  <c r="HU40" i="25"/>
  <c r="HT40" i="25"/>
  <c r="HS40" i="25"/>
  <c r="HR40" i="25"/>
  <c r="HQ40" i="25"/>
  <c r="HP40" i="25"/>
  <c r="HO40" i="25"/>
  <c r="HN40" i="25"/>
  <c r="HM40" i="25"/>
  <c r="HL40" i="25"/>
  <c r="HK40" i="25"/>
  <c r="HJ40" i="25"/>
  <c r="HI40" i="25"/>
  <c r="HH40" i="25"/>
  <c r="HG40" i="25"/>
  <c r="HF40" i="25"/>
  <c r="HE40" i="25"/>
  <c r="HD40" i="25"/>
  <c r="HC40" i="25"/>
  <c r="HB40" i="25"/>
  <c r="HA40" i="25"/>
  <c r="GZ40" i="25"/>
  <c r="GY40" i="25"/>
  <c r="GX40" i="25"/>
  <c r="GW40" i="25"/>
  <c r="GV40" i="25"/>
  <c r="GU40" i="25"/>
  <c r="GT40" i="25"/>
  <c r="GS40" i="25"/>
  <c r="GR40" i="25"/>
  <c r="GQ40" i="25"/>
  <c r="GP40" i="25"/>
  <c r="GO40" i="25"/>
  <c r="GN40" i="25"/>
  <c r="GM40" i="25"/>
  <c r="GL40" i="25"/>
  <c r="GK40" i="25"/>
  <c r="GJ40" i="25"/>
  <c r="GI40" i="25"/>
  <c r="GH40" i="25"/>
  <c r="GG40" i="25"/>
  <c r="GF40" i="25"/>
  <c r="GE40" i="25"/>
  <c r="GD40" i="25"/>
  <c r="GC40" i="25"/>
  <c r="GB40" i="25"/>
  <c r="GA40" i="25"/>
  <c r="FZ40" i="25"/>
  <c r="FY40" i="25"/>
  <c r="FX40" i="25"/>
  <c r="FW40" i="25"/>
  <c r="FV40" i="25"/>
  <c r="FU40" i="25"/>
  <c r="FT40" i="25"/>
  <c r="FS40" i="25"/>
  <c r="FR40" i="25"/>
  <c r="FQ40" i="25"/>
  <c r="FP40" i="25"/>
  <c r="FO40" i="25"/>
  <c r="FN40" i="25"/>
  <c r="FM40" i="25"/>
  <c r="FL40" i="25"/>
  <c r="FK40" i="25"/>
  <c r="FJ40" i="25"/>
  <c r="FI40" i="25"/>
  <c r="FH40" i="25"/>
  <c r="FG40" i="25"/>
  <c r="FF40" i="25"/>
  <c r="FE40" i="25"/>
  <c r="FD40" i="25"/>
  <c r="FC40" i="25"/>
  <c r="FB40" i="25"/>
  <c r="FA40" i="25"/>
  <c r="EZ40" i="25"/>
  <c r="EY40" i="25"/>
  <c r="EX40" i="25"/>
  <c r="EW40" i="25"/>
  <c r="EV40" i="25"/>
  <c r="EU40" i="25"/>
  <c r="ET40" i="25"/>
  <c r="ES40" i="25"/>
  <c r="ER40" i="25"/>
  <c r="EQ40" i="25"/>
  <c r="EP40" i="25"/>
  <c r="EO40" i="25"/>
  <c r="EN40" i="25"/>
  <c r="EM40" i="25"/>
  <c r="EL40" i="25"/>
  <c r="EK40" i="25"/>
  <c r="EJ40" i="25"/>
  <c r="EI40" i="25"/>
  <c r="EH40" i="25"/>
  <c r="EG40" i="25"/>
  <c r="EF40" i="25"/>
  <c r="EE40" i="25"/>
  <c r="ED40" i="25"/>
  <c r="EC40" i="25"/>
  <c r="EB40" i="25"/>
  <c r="EA40" i="25"/>
  <c r="DZ40" i="25"/>
  <c r="DY40" i="25"/>
  <c r="DX40" i="25"/>
  <c r="DW40" i="25"/>
  <c r="DV40" i="25"/>
  <c r="DU40" i="25"/>
  <c r="DT40" i="25"/>
  <c r="DS40" i="25"/>
  <c r="DR40" i="25"/>
  <c r="DQ40" i="25"/>
  <c r="DP40" i="25"/>
  <c r="DO40" i="25"/>
  <c r="DN40" i="25"/>
  <c r="DM40" i="25"/>
  <c r="DL40" i="25"/>
  <c r="DK40" i="25"/>
  <c r="DJ40" i="25"/>
  <c r="DI40" i="25"/>
  <c r="DH40" i="25"/>
  <c r="DG40" i="25"/>
  <c r="DF40" i="25"/>
  <c r="DE40" i="25"/>
  <c r="DD40" i="25"/>
  <c r="DC40" i="25"/>
  <c r="DB40" i="25"/>
  <c r="DA40" i="25"/>
  <c r="CZ40" i="25"/>
  <c r="CY40" i="25"/>
  <c r="CX40" i="25"/>
  <c r="CW40" i="25"/>
  <c r="CV40" i="25"/>
  <c r="CU40" i="25"/>
  <c r="CT40" i="25"/>
  <c r="CS40" i="25"/>
  <c r="CR40" i="25"/>
  <c r="CQ40" i="25"/>
  <c r="CP40" i="25"/>
  <c r="CO40" i="25"/>
  <c r="CN40" i="25"/>
  <c r="CM40" i="25"/>
  <c r="CL40" i="25"/>
  <c r="CK40" i="25"/>
  <c r="CJ40" i="25"/>
  <c r="CI40" i="25"/>
  <c r="CH40" i="25"/>
  <c r="CG40" i="25"/>
  <c r="CF40" i="25"/>
  <c r="CE40" i="25"/>
  <c r="CD40" i="25"/>
  <c r="CC40" i="25"/>
  <c r="CB40" i="25"/>
  <c r="CA40" i="25"/>
  <c r="BZ40" i="25"/>
  <c r="BY40" i="25"/>
  <c r="BX40" i="25"/>
  <c r="BW40" i="25"/>
  <c r="BV40" i="25"/>
  <c r="BU40" i="25"/>
  <c r="BT40" i="25"/>
  <c r="BS40" i="25"/>
  <c r="BR40" i="25"/>
  <c r="BQ40" i="25"/>
  <c r="BP40" i="25"/>
  <c r="BO40" i="25"/>
  <c r="BN40" i="25"/>
  <c r="BM40" i="25"/>
  <c r="BL40" i="25"/>
  <c r="BK40" i="25"/>
  <c r="BJ40" i="25"/>
  <c r="BI40" i="25"/>
  <c r="BH40" i="25"/>
  <c r="BG40" i="25"/>
  <c r="BF40" i="25"/>
  <c r="BE40" i="25"/>
  <c r="BD40" i="25"/>
  <c r="BC40" i="25"/>
  <c r="BB40" i="25"/>
  <c r="BA40" i="25"/>
  <c r="AZ40" i="25"/>
  <c r="AY40" i="25"/>
  <c r="AX40" i="25"/>
  <c r="AW40" i="25"/>
  <c r="AV40" i="25"/>
  <c r="AU40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C39" i="25"/>
  <c r="C38" i="25"/>
  <c r="MW37" i="25"/>
  <c r="MV37" i="25"/>
  <c r="MU37" i="25"/>
  <c r="MT37" i="25"/>
  <c r="MS37" i="25"/>
  <c r="MR37" i="25"/>
  <c r="MQ37" i="25"/>
  <c r="MP37" i="25"/>
  <c r="MO37" i="25"/>
  <c r="MN37" i="25"/>
  <c r="MM37" i="25"/>
  <c r="ML37" i="25"/>
  <c r="MK37" i="25"/>
  <c r="MJ37" i="25"/>
  <c r="MI37" i="25"/>
  <c r="MH37" i="25"/>
  <c r="MG37" i="25"/>
  <c r="MF37" i="25"/>
  <c r="ME37" i="25"/>
  <c r="MD37" i="25"/>
  <c r="MC37" i="25"/>
  <c r="MB37" i="25"/>
  <c r="MA37" i="25"/>
  <c r="LZ37" i="25"/>
  <c r="LY37" i="25"/>
  <c r="LX37" i="25"/>
  <c r="LW37" i="25"/>
  <c r="LV37" i="25"/>
  <c r="LU37" i="25"/>
  <c r="LT37" i="25"/>
  <c r="LS37" i="25"/>
  <c r="LR37" i="25"/>
  <c r="LQ37" i="25"/>
  <c r="LP37" i="25"/>
  <c r="LO37" i="25"/>
  <c r="LN37" i="25"/>
  <c r="LM37" i="25"/>
  <c r="LL37" i="25"/>
  <c r="LK37" i="25"/>
  <c r="LJ37" i="25"/>
  <c r="LI37" i="25"/>
  <c r="LH37" i="25"/>
  <c r="LG37" i="25"/>
  <c r="LF37" i="25"/>
  <c r="LE37" i="25"/>
  <c r="LD37" i="25"/>
  <c r="LC37" i="25"/>
  <c r="LB37" i="25"/>
  <c r="LA37" i="25"/>
  <c r="KZ37" i="25"/>
  <c r="KY37" i="25"/>
  <c r="KX37" i="25"/>
  <c r="KW37" i="25"/>
  <c r="KV37" i="25"/>
  <c r="KU37" i="25"/>
  <c r="KT37" i="25"/>
  <c r="KS37" i="25"/>
  <c r="KR37" i="25"/>
  <c r="KQ37" i="25"/>
  <c r="KP37" i="25"/>
  <c r="KO37" i="25"/>
  <c r="KN37" i="25"/>
  <c r="KM37" i="25"/>
  <c r="KL37" i="25"/>
  <c r="KK37" i="25"/>
  <c r="KJ37" i="25"/>
  <c r="KI37" i="25"/>
  <c r="KH37" i="25"/>
  <c r="KG37" i="25"/>
  <c r="KF37" i="25"/>
  <c r="KE37" i="25"/>
  <c r="KD37" i="25"/>
  <c r="KC37" i="25"/>
  <c r="KB37" i="25"/>
  <c r="KA37" i="25"/>
  <c r="JZ37" i="25"/>
  <c r="JY37" i="25"/>
  <c r="JX37" i="25"/>
  <c r="JW37" i="25"/>
  <c r="JV37" i="25"/>
  <c r="JU37" i="25"/>
  <c r="JT37" i="25"/>
  <c r="JS37" i="25"/>
  <c r="JR37" i="25"/>
  <c r="JQ37" i="25"/>
  <c r="JP37" i="25"/>
  <c r="JO37" i="25"/>
  <c r="JN37" i="25"/>
  <c r="JM37" i="25"/>
  <c r="JL37" i="25"/>
  <c r="JK37" i="25"/>
  <c r="JJ37" i="25"/>
  <c r="JI37" i="25"/>
  <c r="JH37" i="25"/>
  <c r="JG37" i="25"/>
  <c r="JF37" i="25"/>
  <c r="JE37" i="25"/>
  <c r="JD37" i="25"/>
  <c r="JC37" i="25"/>
  <c r="JB37" i="25"/>
  <c r="JA37" i="25"/>
  <c r="IZ37" i="25"/>
  <c r="IY37" i="25"/>
  <c r="IX37" i="25"/>
  <c r="IW37" i="25"/>
  <c r="IV37" i="25"/>
  <c r="IU37" i="25"/>
  <c r="IT37" i="25"/>
  <c r="IS37" i="25"/>
  <c r="IR37" i="25"/>
  <c r="IQ37" i="25"/>
  <c r="IP37" i="25"/>
  <c r="IO37" i="25"/>
  <c r="IN37" i="25"/>
  <c r="IM37" i="25"/>
  <c r="IL37" i="25"/>
  <c r="IK37" i="25"/>
  <c r="IJ37" i="25"/>
  <c r="II37" i="25"/>
  <c r="IH37" i="25"/>
  <c r="IG37" i="25"/>
  <c r="IF37" i="25"/>
  <c r="IE37" i="25"/>
  <c r="ID37" i="25"/>
  <c r="IC37" i="25"/>
  <c r="IB37" i="25"/>
  <c r="IA37" i="25"/>
  <c r="HZ37" i="25"/>
  <c r="HY37" i="25"/>
  <c r="HX37" i="25"/>
  <c r="HW37" i="25"/>
  <c r="HV37" i="25"/>
  <c r="HU37" i="25"/>
  <c r="HT37" i="25"/>
  <c r="HS37" i="25"/>
  <c r="HR37" i="25"/>
  <c r="HQ37" i="25"/>
  <c r="HP37" i="25"/>
  <c r="HO37" i="25"/>
  <c r="HN37" i="25"/>
  <c r="HM37" i="25"/>
  <c r="HL37" i="25"/>
  <c r="HK37" i="25"/>
  <c r="HJ37" i="25"/>
  <c r="HI37" i="25"/>
  <c r="HH37" i="25"/>
  <c r="HG37" i="25"/>
  <c r="HF37" i="25"/>
  <c r="HE37" i="25"/>
  <c r="HD37" i="25"/>
  <c r="HC37" i="25"/>
  <c r="HB37" i="25"/>
  <c r="HA37" i="25"/>
  <c r="GZ37" i="25"/>
  <c r="GY37" i="25"/>
  <c r="GX37" i="25"/>
  <c r="GW37" i="25"/>
  <c r="GV37" i="25"/>
  <c r="GU37" i="25"/>
  <c r="GT37" i="25"/>
  <c r="GS37" i="25"/>
  <c r="GR37" i="25"/>
  <c r="GQ37" i="25"/>
  <c r="GP37" i="25"/>
  <c r="GO37" i="25"/>
  <c r="GN37" i="25"/>
  <c r="GM37" i="25"/>
  <c r="GL37" i="25"/>
  <c r="GK37" i="25"/>
  <c r="GJ37" i="25"/>
  <c r="GI37" i="25"/>
  <c r="GH37" i="25"/>
  <c r="GG37" i="25"/>
  <c r="GF37" i="25"/>
  <c r="GE37" i="25"/>
  <c r="GD37" i="25"/>
  <c r="GC37" i="25"/>
  <c r="GB37" i="25"/>
  <c r="GA37" i="25"/>
  <c r="FZ37" i="25"/>
  <c r="FY37" i="25"/>
  <c r="FX37" i="25"/>
  <c r="FW37" i="25"/>
  <c r="FV37" i="25"/>
  <c r="FU37" i="25"/>
  <c r="FT37" i="25"/>
  <c r="FS37" i="25"/>
  <c r="FR37" i="25"/>
  <c r="FQ37" i="25"/>
  <c r="FP37" i="25"/>
  <c r="FO37" i="25"/>
  <c r="FN37" i="25"/>
  <c r="FM37" i="25"/>
  <c r="FL37" i="25"/>
  <c r="FK37" i="25"/>
  <c r="FJ37" i="25"/>
  <c r="FI37" i="25"/>
  <c r="FH37" i="25"/>
  <c r="FG37" i="25"/>
  <c r="FF37" i="25"/>
  <c r="FE37" i="25"/>
  <c r="FD37" i="25"/>
  <c r="FC37" i="25"/>
  <c r="FB37" i="25"/>
  <c r="FA37" i="25"/>
  <c r="EZ37" i="25"/>
  <c r="EY37" i="25"/>
  <c r="EX37" i="25"/>
  <c r="EW37" i="25"/>
  <c r="EV37" i="25"/>
  <c r="EU37" i="25"/>
  <c r="ET37" i="25"/>
  <c r="ES37" i="25"/>
  <c r="ER37" i="25"/>
  <c r="EQ37" i="25"/>
  <c r="EP37" i="25"/>
  <c r="EO37" i="25"/>
  <c r="EN37" i="25"/>
  <c r="EM37" i="25"/>
  <c r="EL37" i="25"/>
  <c r="EK37" i="25"/>
  <c r="EJ37" i="25"/>
  <c r="EI37" i="25"/>
  <c r="EH37" i="25"/>
  <c r="EG37" i="25"/>
  <c r="EF37" i="25"/>
  <c r="EE37" i="25"/>
  <c r="ED37" i="25"/>
  <c r="EC37" i="25"/>
  <c r="EB37" i="25"/>
  <c r="EA37" i="25"/>
  <c r="DZ37" i="25"/>
  <c r="DY37" i="25"/>
  <c r="DX37" i="25"/>
  <c r="DW37" i="25"/>
  <c r="DV37" i="25"/>
  <c r="DU37" i="25"/>
  <c r="DT37" i="25"/>
  <c r="DS37" i="25"/>
  <c r="DR37" i="25"/>
  <c r="DQ37" i="25"/>
  <c r="DP37" i="25"/>
  <c r="DO37" i="25"/>
  <c r="DN37" i="25"/>
  <c r="DM37" i="25"/>
  <c r="DL37" i="25"/>
  <c r="DK37" i="25"/>
  <c r="DJ37" i="25"/>
  <c r="DI37" i="25"/>
  <c r="DH37" i="25"/>
  <c r="DG37" i="25"/>
  <c r="DF37" i="25"/>
  <c r="DE37" i="25"/>
  <c r="DD37" i="25"/>
  <c r="DC37" i="25"/>
  <c r="DB37" i="25"/>
  <c r="DA37" i="25"/>
  <c r="CZ37" i="25"/>
  <c r="CY37" i="25"/>
  <c r="CX37" i="25"/>
  <c r="CW37" i="25"/>
  <c r="CV37" i="25"/>
  <c r="CU37" i="25"/>
  <c r="CT37" i="25"/>
  <c r="CS37" i="25"/>
  <c r="CR37" i="25"/>
  <c r="CQ37" i="25"/>
  <c r="CP37" i="25"/>
  <c r="CO37" i="25"/>
  <c r="CN37" i="25"/>
  <c r="CM37" i="25"/>
  <c r="CL37" i="25"/>
  <c r="CK37" i="25"/>
  <c r="CJ37" i="25"/>
  <c r="CI37" i="25"/>
  <c r="CH37" i="25"/>
  <c r="CG37" i="25"/>
  <c r="CF37" i="25"/>
  <c r="CE37" i="25"/>
  <c r="CD37" i="25"/>
  <c r="CC37" i="25"/>
  <c r="CB37" i="25"/>
  <c r="CA37" i="25"/>
  <c r="BZ37" i="25"/>
  <c r="BY37" i="25"/>
  <c r="BX37" i="25"/>
  <c r="BW37" i="25"/>
  <c r="BV37" i="25"/>
  <c r="BU37" i="25"/>
  <c r="BT37" i="25"/>
  <c r="BS37" i="25"/>
  <c r="BR37" i="25"/>
  <c r="BQ37" i="25"/>
  <c r="BP37" i="25"/>
  <c r="BO37" i="25"/>
  <c r="BN37" i="25"/>
  <c r="BM37" i="25"/>
  <c r="BL37" i="25"/>
  <c r="BK37" i="25"/>
  <c r="BJ37" i="25"/>
  <c r="BI37" i="25"/>
  <c r="BH37" i="25"/>
  <c r="BG37" i="25"/>
  <c r="BF37" i="25"/>
  <c r="BE37" i="25"/>
  <c r="BD37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 s="1"/>
  <c r="C36" i="25"/>
  <c r="C35" i="25"/>
  <c r="C34" i="25"/>
  <c r="C33" i="25" s="1"/>
  <c r="MW33" i="25"/>
  <c r="MV33" i="25"/>
  <c r="MU33" i="25"/>
  <c r="MT33" i="25"/>
  <c r="MS33" i="25"/>
  <c r="MR33" i="25"/>
  <c r="MQ33" i="25"/>
  <c r="MP33" i="25"/>
  <c r="MO33" i="25"/>
  <c r="MN33" i="25"/>
  <c r="MM33" i="25"/>
  <c r="ML33" i="25"/>
  <c r="MK33" i="25"/>
  <c r="MJ33" i="25"/>
  <c r="MI33" i="25"/>
  <c r="MH33" i="25"/>
  <c r="MG33" i="25"/>
  <c r="MF33" i="25"/>
  <c r="ME33" i="25"/>
  <c r="MD33" i="25"/>
  <c r="MC33" i="25"/>
  <c r="MB33" i="25"/>
  <c r="MA33" i="25"/>
  <c r="LZ33" i="25"/>
  <c r="LY33" i="25"/>
  <c r="LX33" i="25"/>
  <c r="LW33" i="25"/>
  <c r="LV33" i="25"/>
  <c r="LU33" i="25"/>
  <c r="LT33" i="25"/>
  <c r="LS33" i="25"/>
  <c r="LR33" i="25"/>
  <c r="LQ33" i="25"/>
  <c r="LP33" i="25"/>
  <c r="LO33" i="25"/>
  <c r="LN33" i="25"/>
  <c r="LM33" i="25"/>
  <c r="LL33" i="25"/>
  <c r="LK33" i="25"/>
  <c r="LJ33" i="25"/>
  <c r="LI33" i="25"/>
  <c r="LH33" i="25"/>
  <c r="LG33" i="25"/>
  <c r="LF33" i="25"/>
  <c r="LE33" i="25"/>
  <c r="LD33" i="25"/>
  <c r="LC33" i="25"/>
  <c r="LB33" i="25"/>
  <c r="LA33" i="25"/>
  <c r="KZ33" i="25"/>
  <c r="KY33" i="25"/>
  <c r="KX33" i="25"/>
  <c r="KW33" i="25"/>
  <c r="KV33" i="25"/>
  <c r="KU33" i="25"/>
  <c r="KT33" i="25"/>
  <c r="KS33" i="25"/>
  <c r="KR33" i="25"/>
  <c r="KQ33" i="25"/>
  <c r="KP33" i="25"/>
  <c r="KO33" i="25"/>
  <c r="KN33" i="25"/>
  <c r="KM33" i="25"/>
  <c r="KL33" i="25"/>
  <c r="KK33" i="25"/>
  <c r="KJ33" i="25"/>
  <c r="KI33" i="25"/>
  <c r="KH33" i="25"/>
  <c r="KG33" i="25"/>
  <c r="KF33" i="25"/>
  <c r="KE33" i="25"/>
  <c r="KD33" i="25"/>
  <c r="KC33" i="25"/>
  <c r="KB33" i="25"/>
  <c r="KA33" i="25"/>
  <c r="JZ33" i="25"/>
  <c r="JY33" i="25"/>
  <c r="JX33" i="25"/>
  <c r="JW33" i="25"/>
  <c r="JV33" i="25"/>
  <c r="JU33" i="25"/>
  <c r="JT33" i="25"/>
  <c r="JS33" i="25"/>
  <c r="JR33" i="25"/>
  <c r="JQ33" i="25"/>
  <c r="JP33" i="25"/>
  <c r="JO33" i="25"/>
  <c r="JN33" i="25"/>
  <c r="JM33" i="25"/>
  <c r="JL33" i="25"/>
  <c r="JK33" i="25"/>
  <c r="JJ33" i="25"/>
  <c r="JI33" i="25"/>
  <c r="JH33" i="25"/>
  <c r="JG33" i="25"/>
  <c r="JF33" i="25"/>
  <c r="JE33" i="25"/>
  <c r="JD33" i="25"/>
  <c r="JC33" i="25"/>
  <c r="JB33" i="25"/>
  <c r="JA33" i="25"/>
  <c r="IZ33" i="25"/>
  <c r="IY33" i="25"/>
  <c r="IX33" i="25"/>
  <c r="IW33" i="25"/>
  <c r="IV33" i="25"/>
  <c r="IU33" i="25"/>
  <c r="IT33" i="25"/>
  <c r="IS33" i="25"/>
  <c r="IR33" i="25"/>
  <c r="IQ33" i="25"/>
  <c r="IP33" i="25"/>
  <c r="IO33" i="25"/>
  <c r="IN33" i="25"/>
  <c r="IM33" i="25"/>
  <c r="IL33" i="25"/>
  <c r="IK33" i="25"/>
  <c r="IJ33" i="25"/>
  <c r="II33" i="25"/>
  <c r="IH33" i="25"/>
  <c r="IG33" i="25"/>
  <c r="IF33" i="25"/>
  <c r="IE33" i="25"/>
  <c r="ID33" i="25"/>
  <c r="IC33" i="25"/>
  <c r="IB33" i="25"/>
  <c r="IA33" i="25"/>
  <c r="HZ33" i="25"/>
  <c r="HY33" i="25"/>
  <c r="HX33" i="25"/>
  <c r="HW33" i="25"/>
  <c r="HV33" i="25"/>
  <c r="HU33" i="25"/>
  <c r="HT33" i="25"/>
  <c r="HS33" i="25"/>
  <c r="HR33" i="25"/>
  <c r="HQ33" i="25"/>
  <c r="HP33" i="25"/>
  <c r="HO33" i="25"/>
  <c r="HN33" i="25"/>
  <c r="HM33" i="25"/>
  <c r="HL33" i="25"/>
  <c r="HK33" i="25"/>
  <c r="HJ33" i="25"/>
  <c r="HI33" i="25"/>
  <c r="HH33" i="25"/>
  <c r="HG33" i="25"/>
  <c r="HF33" i="25"/>
  <c r="HE33" i="25"/>
  <c r="HD33" i="25"/>
  <c r="HC33" i="25"/>
  <c r="HB33" i="25"/>
  <c r="HA33" i="25"/>
  <c r="GZ33" i="25"/>
  <c r="GY33" i="25"/>
  <c r="GX33" i="25"/>
  <c r="GW33" i="25"/>
  <c r="GV33" i="25"/>
  <c r="GU33" i="25"/>
  <c r="GT33" i="25"/>
  <c r="GS33" i="25"/>
  <c r="GR33" i="25"/>
  <c r="GQ33" i="25"/>
  <c r="GP33" i="25"/>
  <c r="GO33" i="25"/>
  <c r="GN33" i="25"/>
  <c r="GM33" i="25"/>
  <c r="GL33" i="25"/>
  <c r="GK33" i="25"/>
  <c r="GJ33" i="25"/>
  <c r="GI33" i="25"/>
  <c r="GH33" i="25"/>
  <c r="GG33" i="25"/>
  <c r="GF33" i="25"/>
  <c r="GE33" i="25"/>
  <c r="GD33" i="25"/>
  <c r="GC33" i="25"/>
  <c r="GB33" i="25"/>
  <c r="GA33" i="25"/>
  <c r="FZ33" i="25"/>
  <c r="FY33" i="25"/>
  <c r="FX33" i="25"/>
  <c r="FW33" i="25"/>
  <c r="FV33" i="25"/>
  <c r="FU33" i="25"/>
  <c r="FT33" i="25"/>
  <c r="FS33" i="25"/>
  <c r="FR33" i="25"/>
  <c r="FQ33" i="25"/>
  <c r="FP33" i="25"/>
  <c r="FO33" i="25"/>
  <c r="FN33" i="25"/>
  <c r="FM33" i="25"/>
  <c r="FL33" i="25"/>
  <c r="FK33" i="25"/>
  <c r="FJ33" i="25"/>
  <c r="FI33" i="25"/>
  <c r="FH33" i="25"/>
  <c r="FG33" i="25"/>
  <c r="FF33" i="25"/>
  <c r="FE33" i="25"/>
  <c r="FD33" i="25"/>
  <c r="FC33" i="25"/>
  <c r="FB33" i="25"/>
  <c r="FA33" i="25"/>
  <c r="EZ33" i="25"/>
  <c r="EY33" i="25"/>
  <c r="EX33" i="25"/>
  <c r="EW33" i="25"/>
  <c r="EV33" i="25"/>
  <c r="EU33" i="25"/>
  <c r="ET33" i="25"/>
  <c r="ES33" i="25"/>
  <c r="ER33" i="25"/>
  <c r="EQ33" i="25"/>
  <c r="EP33" i="25"/>
  <c r="EO33" i="25"/>
  <c r="EN33" i="25"/>
  <c r="EM33" i="25"/>
  <c r="EL33" i="25"/>
  <c r="EK33" i="25"/>
  <c r="EJ33" i="25"/>
  <c r="EI33" i="25"/>
  <c r="EH33" i="25"/>
  <c r="EG33" i="25"/>
  <c r="EF33" i="25"/>
  <c r="EE33" i="25"/>
  <c r="ED33" i="25"/>
  <c r="EC33" i="25"/>
  <c r="EB33" i="25"/>
  <c r="EA33" i="25"/>
  <c r="DZ33" i="25"/>
  <c r="DY33" i="25"/>
  <c r="DX33" i="25"/>
  <c r="DW33" i="25"/>
  <c r="DV33" i="25"/>
  <c r="DU33" i="25"/>
  <c r="DT33" i="25"/>
  <c r="DS33" i="25"/>
  <c r="DR33" i="25"/>
  <c r="DQ33" i="25"/>
  <c r="DP33" i="25"/>
  <c r="DO33" i="25"/>
  <c r="DN33" i="25"/>
  <c r="DM33" i="25"/>
  <c r="DL33" i="25"/>
  <c r="DK33" i="25"/>
  <c r="DJ33" i="25"/>
  <c r="DI33" i="25"/>
  <c r="DH33" i="25"/>
  <c r="DG33" i="25"/>
  <c r="DF33" i="25"/>
  <c r="DE33" i="25"/>
  <c r="DD33" i="25"/>
  <c r="DC33" i="25"/>
  <c r="DB33" i="25"/>
  <c r="DA33" i="25"/>
  <c r="CZ33" i="25"/>
  <c r="CY33" i="25"/>
  <c r="CX33" i="25"/>
  <c r="CW33" i="25"/>
  <c r="CV33" i="25"/>
  <c r="CU33" i="25"/>
  <c r="CT33" i="25"/>
  <c r="CS33" i="25"/>
  <c r="CR33" i="25"/>
  <c r="CQ33" i="25"/>
  <c r="CP33" i="25"/>
  <c r="CO33" i="25"/>
  <c r="CN33" i="25"/>
  <c r="CM33" i="25"/>
  <c r="CL33" i="25"/>
  <c r="CK33" i="25"/>
  <c r="CJ33" i="25"/>
  <c r="CI33" i="25"/>
  <c r="CH33" i="25"/>
  <c r="CG33" i="25"/>
  <c r="CF33" i="25"/>
  <c r="CE33" i="25"/>
  <c r="CD33" i="25"/>
  <c r="CC33" i="25"/>
  <c r="CB33" i="25"/>
  <c r="CA33" i="25"/>
  <c r="BZ33" i="25"/>
  <c r="BY33" i="25"/>
  <c r="BX33" i="25"/>
  <c r="BW33" i="25"/>
  <c r="BV33" i="25"/>
  <c r="BU33" i="25"/>
  <c r="BT33" i="25"/>
  <c r="BS33" i="25"/>
  <c r="BR33" i="25"/>
  <c r="BQ33" i="25"/>
  <c r="BP33" i="25"/>
  <c r="BO33" i="25"/>
  <c r="BN33" i="25"/>
  <c r="BM33" i="25"/>
  <c r="BL33" i="25"/>
  <c r="BK33" i="25"/>
  <c r="BJ33" i="25"/>
  <c r="BI33" i="25"/>
  <c r="BH33" i="25"/>
  <c r="BG33" i="25"/>
  <c r="BF33" i="25"/>
  <c r="BE33" i="25"/>
  <c r="BD33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2" i="25"/>
  <c r="C31" i="25"/>
  <c r="C30" i="25"/>
  <c r="C29" i="25"/>
  <c r="FA28" i="25"/>
  <c r="C28" i="25" s="1"/>
  <c r="CJ28" i="25"/>
  <c r="CM27" i="25"/>
  <c r="CJ27" i="25"/>
  <c r="C27" i="25" s="1"/>
  <c r="J27" i="25"/>
  <c r="FM26" i="25"/>
  <c r="EY26" i="25"/>
  <c r="EW26" i="25"/>
  <c r="DQ26" i="25"/>
  <c r="BJ26" i="25"/>
  <c r="J26" i="25"/>
  <c r="C26" i="25" s="1"/>
  <c r="MT25" i="25"/>
  <c r="MS25" i="25"/>
  <c r="MR25" i="25"/>
  <c r="MQ25" i="25"/>
  <c r="MN25" i="25"/>
  <c r="MK25" i="25"/>
  <c r="MI25" i="25"/>
  <c r="MD25" i="25"/>
  <c r="MC25" i="25"/>
  <c r="MA25" i="25"/>
  <c r="MA22" i="25" s="1"/>
  <c r="LZ25" i="25"/>
  <c r="LZ22" i="25" s="1"/>
  <c r="LY25" i="25"/>
  <c r="LX25" i="25"/>
  <c r="LV25" i="25"/>
  <c r="LU25" i="25"/>
  <c r="LQ25" i="25"/>
  <c r="LN25" i="25"/>
  <c r="LK25" i="25"/>
  <c r="LK22" i="25" s="1"/>
  <c r="LH25" i="25"/>
  <c r="LG25" i="25"/>
  <c r="LF25" i="25"/>
  <c r="LB25" i="25"/>
  <c r="KY25" i="25"/>
  <c r="KX25" i="25"/>
  <c r="KW25" i="25"/>
  <c r="KP25" i="25"/>
  <c r="KO25" i="25"/>
  <c r="KO22" i="25" s="1"/>
  <c r="KN25" i="25"/>
  <c r="KK25" i="25"/>
  <c r="KE25" i="25"/>
  <c r="KE22" i="25" s="1"/>
  <c r="KD25" i="25"/>
  <c r="KD22" i="25" s="1"/>
  <c r="KC25" i="25"/>
  <c r="KA25" i="25"/>
  <c r="KA22" i="25" s="1"/>
  <c r="JW25" i="25"/>
  <c r="JU25" i="25"/>
  <c r="JU22" i="25" s="1"/>
  <c r="JT25" i="25"/>
  <c r="JO25" i="25"/>
  <c r="JO22" i="25" s="1"/>
  <c r="JD25" i="25"/>
  <c r="JC25" i="25"/>
  <c r="JC22" i="25" s="1"/>
  <c r="IX25" i="25"/>
  <c r="IW25" i="25"/>
  <c r="IV25" i="25"/>
  <c r="IU25" i="25"/>
  <c r="IU22" i="25" s="1"/>
  <c r="IS25" i="25"/>
  <c r="IO25" i="25"/>
  <c r="IL25" i="25"/>
  <c r="IK25" i="25"/>
  <c r="IK22" i="25" s="1"/>
  <c r="II25" i="25"/>
  <c r="IC25" i="25"/>
  <c r="HY25" i="25"/>
  <c r="HW25" i="25"/>
  <c r="HW22" i="25" s="1"/>
  <c r="HP25" i="25"/>
  <c r="HN25" i="25"/>
  <c r="HJ25" i="25"/>
  <c r="GZ25" i="25"/>
  <c r="GV25" i="25"/>
  <c r="GS25" i="25"/>
  <c r="GR25" i="25"/>
  <c r="GQ25" i="25"/>
  <c r="GQ22" i="25" s="1"/>
  <c r="GP25" i="25"/>
  <c r="GO25" i="25"/>
  <c r="GI25" i="25"/>
  <c r="GI22" i="25" s="1"/>
  <c r="GH25" i="25"/>
  <c r="GH22" i="25" s="1"/>
  <c r="GG25" i="25"/>
  <c r="GE25" i="25"/>
  <c r="GE22" i="25" s="1"/>
  <c r="GA25" i="25"/>
  <c r="GA22" i="25" s="1"/>
  <c r="FZ25" i="25"/>
  <c r="FZ22" i="25" s="1"/>
  <c r="FW25" i="25"/>
  <c r="FR25" i="25"/>
  <c r="FP25" i="25"/>
  <c r="FO25" i="25"/>
  <c r="FM25" i="25"/>
  <c r="FL25" i="25"/>
  <c r="FK25" i="25"/>
  <c r="FK22" i="25" s="1"/>
  <c r="FH25" i="25"/>
  <c r="FG25" i="25"/>
  <c r="FD25" i="25"/>
  <c r="FC25" i="25"/>
  <c r="FC22" i="25" s="1"/>
  <c r="FB25" i="25"/>
  <c r="FB22" i="25" s="1"/>
  <c r="FA25" i="25"/>
  <c r="EW25" i="25"/>
  <c r="EV25" i="25"/>
  <c r="EO25" i="25"/>
  <c r="EO22" i="25" s="1"/>
  <c r="EN25" i="25"/>
  <c r="EK25" i="25"/>
  <c r="EJ25" i="25"/>
  <c r="EH25" i="25"/>
  <c r="EH22" i="25" s="1"/>
  <c r="EF25" i="25"/>
  <c r="ED25" i="25"/>
  <c r="EC25" i="25"/>
  <c r="EA25" i="25"/>
  <c r="DU25" i="25"/>
  <c r="DT25" i="25"/>
  <c r="DS25" i="25"/>
  <c r="DQ25" i="25"/>
  <c r="DQ22" i="25" s="1"/>
  <c r="DP25" i="25"/>
  <c r="DN25" i="25"/>
  <c r="DL25" i="25"/>
  <c r="DE25" i="25"/>
  <c r="DE22" i="25" s="1"/>
  <c r="DD25" i="25"/>
  <c r="DB25" i="25"/>
  <c r="CY25" i="25"/>
  <c r="CY22" i="25" s="1"/>
  <c r="CW25" i="25"/>
  <c r="CW22" i="25" s="1"/>
  <c r="CS25" i="25"/>
  <c r="CP25" i="25"/>
  <c r="CO25" i="25"/>
  <c r="CM25" i="25"/>
  <c r="CL25" i="25"/>
  <c r="CJ25" i="25"/>
  <c r="CI25" i="25"/>
  <c r="CI22" i="25" s="1"/>
  <c r="CD25" i="25"/>
  <c r="CD22" i="25" s="1"/>
  <c r="CA25" i="25"/>
  <c r="BV25" i="25"/>
  <c r="BQ25" i="25"/>
  <c r="BG25" i="25"/>
  <c r="BA25" i="25"/>
  <c r="AY25" i="25"/>
  <c r="AY22" i="25" s="1"/>
  <c r="AX25" i="25"/>
  <c r="AU25" i="25"/>
  <c r="AU22" i="25" s="1"/>
  <c r="AS25" i="25"/>
  <c r="AR25" i="25"/>
  <c r="AQ25" i="25"/>
  <c r="AQ22" i="25" s="1"/>
  <c r="AE25" i="25"/>
  <c r="AE22" i="25" s="1"/>
  <c r="AB25" i="25"/>
  <c r="AA25" i="25"/>
  <c r="AA22" i="25" s="1"/>
  <c r="Z25" i="25"/>
  <c r="Y25" i="25"/>
  <c r="Y22" i="25" s="1"/>
  <c r="X25" i="25"/>
  <c r="V25" i="25"/>
  <c r="T25" i="25"/>
  <c r="R25" i="25"/>
  <c r="R22" i="25" s="1"/>
  <c r="P25" i="25"/>
  <c r="O25" i="25"/>
  <c r="M25" i="25"/>
  <c r="L25" i="25"/>
  <c r="J25" i="25"/>
  <c r="H25" i="25"/>
  <c r="F25" i="25"/>
  <c r="C25" i="25"/>
  <c r="MV24" i="25"/>
  <c r="MU24" i="25"/>
  <c r="MU22" i="25" s="1"/>
  <c r="MT24" i="25"/>
  <c r="MQ24" i="25"/>
  <c r="MQ22" i="25" s="1"/>
  <c r="MP24" i="25"/>
  <c r="ML24" i="25"/>
  <c r="MJ24" i="25"/>
  <c r="MI24" i="25"/>
  <c r="MH24" i="25"/>
  <c r="MG24" i="25"/>
  <c r="MF24" i="25"/>
  <c r="ME24" i="25"/>
  <c r="ME22" i="25" s="1"/>
  <c r="MD24" i="25"/>
  <c r="MC24" i="25"/>
  <c r="MB24" i="25"/>
  <c r="LY24" i="25"/>
  <c r="LY22" i="25" s="1"/>
  <c r="LX24" i="25"/>
  <c r="LW24" i="25"/>
  <c r="LW22" i="25" s="1"/>
  <c r="LV24" i="25"/>
  <c r="LU24" i="25"/>
  <c r="LU22" i="25" s="1"/>
  <c r="LR24" i="25"/>
  <c r="LM24" i="25"/>
  <c r="LF24" i="25"/>
  <c r="KY24" i="25"/>
  <c r="KY22" i="25" s="1"/>
  <c r="KW24" i="25"/>
  <c r="KR24" i="25"/>
  <c r="KL24" i="25"/>
  <c r="KG24" i="25"/>
  <c r="KG22" i="25" s="1"/>
  <c r="JX24" i="25"/>
  <c r="JT24" i="25"/>
  <c r="JQ24" i="25"/>
  <c r="JL24" i="25"/>
  <c r="JH24" i="25"/>
  <c r="JF24" i="25"/>
  <c r="JE24" i="25"/>
  <c r="JD24" i="25"/>
  <c r="JA24" i="25"/>
  <c r="IZ24" i="25"/>
  <c r="IR24" i="25"/>
  <c r="IQ24" i="25"/>
  <c r="IQ22" i="25" s="1"/>
  <c r="IP24" i="25"/>
  <c r="IO24" i="25"/>
  <c r="IM24" i="25"/>
  <c r="IM22" i="25" s="1"/>
  <c r="II24" i="25"/>
  <c r="II22" i="25" s="1"/>
  <c r="IF24" i="25"/>
  <c r="IC24" i="25"/>
  <c r="IA24" i="25"/>
  <c r="IA22" i="25" s="1"/>
  <c r="HO24" i="25"/>
  <c r="HO22" i="25" s="1"/>
  <c r="HK24" i="25"/>
  <c r="HF24" i="25"/>
  <c r="GX24" i="25"/>
  <c r="GU24" i="25"/>
  <c r="GU22" i="25" s="1"/>
  <c r="GS24" i="25"/>
  <c r="GR24" i="25"/>
  <c r="GO24" i="25"/>
  <c r="FY24" i="25"/>
  <c r="FY22" i="25" s="1"/>
  <c r="FX24" i="25"/>
  <c r="FW24" i="25"/>
  <c r="FW22" i="25" s="1"/>
  <c r="FP24" i="25"/>
  <c r="FO24" i="25"/>
  <c r="FO22" i="25" s="1"/>
  <c r="FN24" i="25"/>
  <c r="FM24" i="25"/>
  <c r="FJ24" i="25"/>
  <c r="FI24" i="25"/>
  <c r="FI22" i="25" s="1"/>
  <c r="FH24" i="25"/>
  <c r="FF24" i="25"/>
  <c r="FE24" i="25"/>
  <c r="FD24" i="25"/>
  <c r="EZ24" i="25"/>
  <c r="EY24" i="25"/>
  <c r="EY22" i="25" s="1"/>
  <c r="EX24" i="25"/>
  <c r="EU24" i="25"/>
  <c r="EU22" i="25" s="1"/>
  <c r="ET24" i="25"/>
  <c r="ES24" i="25"/>
  <c r="ER24" i="25"/>
  <c r="EQ24" i="25"/>
  <c r="EP24" i="25"/>
  <c r="EM24" i="25"/>
  <c r="EL24" i="25"/>
  <c r="EK24" i="25"/>
  <c r="EK22" i="25" s="1"/>
  <c r="EJ24" i="25"/>
  <c r="EI24" i="25"/>
  <c r="EI22" i="25" s="1"/>
  <c r="EG24" i="25"/>
  <c r="EE24" i="25"/>
  <c r="EE22" i="25" s="1"/>
  <c r="EB24" i="25"/>
  <c r="EA24" i="25"/>
  <c r="EA22" i="25" s="1"/>
  <c r="DZ24" i="25"/>
  <c r="DW24" i="25"/>
  <c r="DW22" i="25" s="1"/>
  <c r="DV24" i="25"/>
  <c r="DU24" i="25"/>
  <c r="DS24" i="25"/>
  <c r="DS22" i="25" s="1"/>
  <c r="DR24" i="25"/>
  <c r="DR22" i="25" s="1"/>
  <c r="DP24" i="25"/>
  <c r="DO24" i="25"/>
  <c r="DO22" i="25" s="1"/>
  <c r="DK24" i="25"/>
  <c r="DK22" i="25" s="1"/>
  <c r="DJ24" i="25"/>
  <c r="DJ22" i="25" s="1"/>
  <c r="DI24" i="25"/>
  <c r="CO24" i="25"/>
  <c r="CM24" i="25"/>
  <c r="CK24" i="25"/>
  <c r="CK22" i="25" s="1"/>
  <c r="CI24" i="25"/>
  <c r="CH24" i="25"/>
  <c r="CG24" i="25"/>
  <c r="CF24" i="25"/>
  <c r="BW24" i="25"/>
  <c r="BS24" i="25"/>
  <c r="BS22" i="25" s="1"/>
  <c r="BR24" i="25"/>
  <c r="BL24" i="25"/>
  <c r="BJ24" i="25"/>
  <c r="BH24" i="25"/>
  <c r="BG24" i="25"/>
  <c r="BG22" i="25" s="1"/>
  <c r="BC24" i="25"/>
  <c r="BB24" i="25"/>
  <c r="AZ24" i="25"/>
  <c r="AX24" i="25"/>
  <c r="AW24" i="25"/>
  <c r="AW22" i="25" s="1"/>
  <c r="AS24" i="25"/>
  <c r="AP24" i="25"/>
  <c r="AL24" i="25"/>
  <c r="AI24" i="25"/>
  <c r="AI22" i="25" s="1"/>
  <c r="AD24" i="25"/>
  <c r="W24" i="25"/>
  <c r="W22" i="25" s="1"/>
  <c r="V24" i="25"/>
  <c r="T24" i="25"/>
  <c r="S24" i="25"/>
  <c r="N24" i="25"/>
  <c r="J24" i="25"/>
  <c r="C24" i="25"/>
  <c r="MV23" i="25"/>
  <c r="MI23" i="25"/>
  <c r="MI22" i="25" s="1"/>
  <c r="KG23" i="25"/>
  <c r="JW23" i="25"/>
  <c r="JW22" i="25" s="1"/>
  <c r="JL23" i="25"/>
  <c r="IW23" i="25"/>
  <c r="IS23" i="25"/>
  <c r="IR23" i="25"/>
  <c r="HX23" i="25"/>
  <c r="HV23" i="25"/>
  <c r="GP23" i="25"/>
  <c r="FT23" i="25"/>
  <c r="FS23" i="25"/>
  <c r="FR23" i="25"/>
  <c r="FB23" i="25"/>
  <c r="FA23" i="25"/>
  <c r="FA22" i="25" s="1"/>
  <c r="EY23" i="25"/>
  <c r="ES23" i="25"/>
  <c r="ER23" i="25"/>
  <c r="EQ23" i="25"/>
  <c r="EQ22" i="25" s="1"/>
  <c r="EP23" i="25"/>
  <c r="EN23" i="25"/>
  <c r="EM23" i="25"/>
  <c r="EM22" i="25" s="1"/>
  <c r="DZ23" i="25"/>
  <c r="DZ22" i="25" s="1"/>
  <c r="DX23" i="25"/>
  <c r="DM23" i="25"/>
  <c r="DI23" i="25"/>
  <c r="CV23" i="25"/>
  <c r="CP23" i="25"/>
  <c r="CM23" i="25"/>
  <c r="CM22" i="25" s="1"/>
  <c r="CJ23" i="25"/>
  <c r="BJ23" i="25"/>
  <c r="BJ22" i="25" s="1"/>
  <c r="BH23" i="25"/>
  <c r="BC23" i="25"/>
  <c r="BC22" i="25" s="1"/>
  <c r="AZ23" i="25"/>
  <c r="AT23" i="25"/>
  <c r="AT22" i="25" s="1"/>
  <c r="AD23" i="25"/>
  <c r="S23" i="25"/>
  <c r="S22" i="25" s="1"/>
  <c r="P23" i="25"/>
  <c r="O23" i="25"/>
  <c r="O22" i="25" s="1"/>
  <c r="L23" i="25"/>
  <c r="MW22" i="25"/>
  <c r="MV22" i="25"/>
  <c r="MT22" i="25"/>
  <c r="MS22" i="25"/>
  <c r="MR22" i="25"/>
  <c r="MP22" i="25"/>
  <c r="MO22" i="25"/>
  <c r="MN22" i="25"/>
  <c r="MM22" i="25"/>
  <c r="ML22" i="25"/>
  <c r="MK22" i="25"/>
  <c r="MJ22" i="25"/>
  <c r="MH22" i="25"/>
  <c r="MG22" i="25"/>
  <c r="MF22" i="25"/>
  <c r="MD22" i="25"/>
  <c r="MC22" i="25"/>
  <c r="MB22" i="25"/>
  <c r="LX22" i="25"/>
  <c r="LV22" i="25"/>
  <c r="LT22" i="25"/>
  <c r="LS22" i="25"/>
  <c r="LR22" i="25"/>
  <c r="LQ22" i="25"/>
  <c r="LP22" i="25"/>
  <c r="LO22" i="25"/>
  <c r="LN22" i="25"/>
  <c r="LM22" i="25"/>
  <c r="LL22" i="25"/>
  <c r="LJ22" i="25"/>
  <c r="LI22" i="25"/>
  <c r="LH22" i="25"/>
  <c r="LG22" i="25"/>
  <c r="LF22" i="25"/>
  <c r="LE22" i="25"/>
  <c r="LD22" i="25"/>
  <c r="LC22" i="25"/>
  <c r="LB22" i="25"/>
  <c r="LA22" i="25"/>
  <c r="KZ22" i="25"/>
  <c r="KX22" i="25"/>
  <c r="KW22" i="25"/>
  <c r="KV22" i="25"/>
  <c r="KU22" i="25"/>
  <c r="KT22" i="25"/>
  <c r="KS22" i="25"/>
  <c r="KR22" i="25"/>
  <c r="KQ22" i="25"/>
  <c r="KP22" i="25"/>
  <c r="KN22" i="25"/>
  <c r="KM22" i="25"/>
  <c r="KL22" i="25"/>
  <c r="KK22" i="25"/>
  <c r="KJ22" i="25"/>
  <c r="KI22" i="25"/>
  <c r="KH22" i="25"/>
  <c r="KF22" i="25"/>
  <c r="KC22" i="25"/>
  <c r="KB22" i="25"/>
  <c r="JZ22" i="25"/>
  <c r="JY22" i="25"/>
  <c r="JX22" i="25"/>
  <c r="JV22" i="25"/>
  <c r="JT22" i="25"/>
  <c r="JS22" i="25"/>
  <c r="JR22" i="25"/>
  <c r="JQ22" i="25"/>
  <c r="JP22" i="25"/>
  <c r="JN22" i="25"/>
  <c r="JM22" i="25"/>
  <c r="JL22" i="25"/>
  <c r="JK22" i="25"/>
  <c r="JJ22" i="25"/>
  <c r="JI22" i="25"/>
  <c r="JH22" i="25"/>
  <c r="JG22" i="25"/>
  <c r="JF22" i="25"/>
  <c r="JE22" i="25"/>
  <c r="JD22" i="25"/>
  <c r="JB22" i="25"/>
  <c r="JA22" i="25"/>
  <c r="IZ22" i="25"/>
  <c r="IY22" i="25"/>
  <c r="IX22" i="25"/>
  <c r="IW22" i="25"/>
  <c r="IV22" i="25"/>
  <c r="IT22" i="25"/>
  <c r="IS22" i="25"/>
  <c r="IR22" i="25"/>
  <c r="IP22" i="25"/>
  <c r="IO22" i="25"/>
  <c r="IN22" i="25"/>
  <c r="IL22" i="25"/>
  <c r="IJ22" i="25"/>
  <c r="IH22" i="25"/>
  <c r="IG22" i="25"/>
  <c r="IF22" i="25"/>
  <c r="IE22" i="25"/>
  <c r="ID22" i="25"/>
  <c r="IC22" i="25"/>
  <c r="IB22" i="25"/>
  <c r="HZ22" i="25"/>
  <c r="HY22" i="25"/>
  <c r="HX22" i="25"/>
  <c r="HV22" i="25"/>
  <c r="HU22" i="25"/>
  <c r="HT22" i="25"/>
  <c r="HS22" i="25"/>
  <c r="HR22" i="25"/>
  <c r="HQ22" i="25"/>
  <c r="HP22" i="25"/>
  <c r="HN22" i="25"/>
  <c r="HM22" i="25"/>
  <c r="HL22" i="25"/>
  <c r="HK22" i="25"/>
  <c r="HJ22" i="25"/>
  <c r="HI22" i="25"/>
  <c r="HH22" i="25"/>
  <c r="HG22" i="25"/>
  <c r="HF22" i="25"/>
  <c r="HE22" i="25"/>
  <c r="HD22" i="25"/>
  <c r="HC22" i="25"/>
  <c r="HB22" i="25"/>
  <c r="HA22" i="25"/>
  <c r="GZ22" i="25"/>
  <c r="GY22" i="25"/>
  <c r="GX22" i="25"/>
  <c r="GW22" i="25"/>
  <c r="GV22" i="25"/>
  <c r="GT22" i="25"/>
  <c r="GS22" i="25"/>
  <c r="GR22" i="25"/>
  <c r="GP22" i="25"/>
  <c r="GO22" i="25"/>
  <c r="GN22" i="25"/>
  <c r="GM22" i="25"/>
  <c r="GL22" i="25"/>
  <c r="GK22" i="25"/>
  <c r="GJ22" i="25"/>
  <c r="GG22" i="25"/>
  <c r="GF22" i="25"/>
  <c r="GD22" i="25"/>
  <c r="GC22" i="25"/>
  <c r="GB22" i="25"/>
  <c r="FX22" i="25"/>
  <c r="FV22" i="25"/>
  <c r="FU22" i="25"/>
  <c r="FT22" i="25"/>
  <c r="FS22" i="25"/>
  <c r="FR22" i="25"/>
  <c r="FQ22" i="25"/>
  <c r="FP22" i="25"/>
  <c r="FN22" i="25"/>
  <c r="FM22" i="25"/>
  <c r="FL22" i="25"/>
  <c r="FJ22" i="25"/>
  <c r="FH22" i="25"/>
  <c r="FG22" i="25"/>
  <c r="FF22" i="25"/>
  <c r="FE22" i="25"/>
  <c r="FD22" i="25"/>
  <c r="EZ22" i="25"/>
  <c r="EX22" i="25"/>
  <c r="EW22" i="25"/>
  <c r="EV22" i="25"/>
  <c r="ET22" i="25"/>
  <c r="ES22" i="25"/>
  <c r="ER22" i="25"/>
  <c r="EP22" i="25"/>
  <c r="EN22" i="25"/>
  <c r="EL22" i="25"/>
  <c r="EJ22" i="25"/>
  <c r="EG22" i="25"/>
  <c r="EF22" i="25"/>
  <c r="ED22" i="25"/>
  <c r="EC22" i="25"/>
  <c r="EB22" i="25"/>
  <c r="DY22" i="25"/>
  <c r="DX22" i="25"/>
  <c r="DV22" i="25"/>
  <c r="DU22" i="25"/>
  <c r="DT22" i="25"/>
  <c r="DP22" i="25"/>
  <c r="DN22" i="25"/>
  <c r="DM22" i="25"/>
  <c r="DL22" i="25"/>
  <c r="DI22" i="25"/>
  <c r="DH22" i="25"/>
  <c r="DG22" i="25"/>
  <c r="DF22" i="25"/>
  <c r="DD22" i="25"/>
  <c r="DC22" i="25"/>
  <c r="DB22" i="25"/>
  <c r="DA22" i="25"/>
  <c r="CZ22" i="25"/>
  <c r="CX22" i="25"/>
  <c r="CV22" i="25"/>
  <c r="CU22" i="25"/>
  <c r="CT22" i="25"/>
  <c r="CS22" i="25"/>
  <c r="CR22" i="25"/>
  <c r="CQ22" i="25"/>
  <c r="CP22" i="25"/>
  <c r="CO22" i="25"/>
  <c r="CN22" i="25"/>
  <c r="CL22" i="25"/>
  <c r="CJ22" i="25"/>
  <c r="CH22" i="25"/>
  <c r="CG22" i="25"/>
  <c r="CF22" i="25"/>
  <c r="CE22" i="25"/>
  <c r="CC22" i="25"/>
  <c r="CB22" i="25"/>
  <c r="CA22" i="25"/>
  <c r="BZ22" i="25"/>
  <c r="BY22" i="25"/>
  <c r="BX22" i="25"/>
  <c r="BW22" i="25"/>
  <c r="BV22" i="25"/>
  <c r="BU22" i="25"/>
  <c r="BT22" i="25"/>
  <c r="BR22" i="25"/>
  <c r="BQ22" i="25"/>
  <c r="BP22" i="25"/>
  <c r="BO22" i="25"/>
  <c r="BN22" i="25"/>
  <c r="BM22" i="25"/>
  <c r="BL22" i="25"/>
  <c r="BK22" i="25"/>
  <c r="BI22" i="25"/>
  <c r="BH22" i="25"/>
  <c r="BF22" i="25"/>
  <c r="BE22" i="25"/>
  <c r="BD22" i="25"/>
  <c r="BB22" i="25"/>
  <c r="BA22" i="25"/>
  <c r="AZ22" i="25"/>
  <c r="AX22" i="25"/>
  <c r="AV22" i="25"/>
  <c r="AS22" i="25"/>
  <c r="AR22" i="25"/>
  <c r="AP22" i="25"/>
  <c r="AO22" i="25"/>
  <c r="AN22" i="25"/>
  <c r="AM22" i="25"/>
  <c r="AL22" i="25"/>
  <c r="AK22" i="25"/>
  <c r="AJ22" i="25"/>
  <c r="AH22" i="25"/>
  <c r="AG22" i="25"/>
  <c r="AF22" i="25"/>
  <c r="AD22" i="25"/>
  <c r="AC22" i="25"/>
  <c r="AB22" i="25"/>
  <c r="Z22" i="25"/>
  <c r="X22" i="25"/>
  <c r="V22" i="25"/>
  <c r="U22" i="25"/>
  <c r="T22" i="25"/>
  <c r="Q22" i="25"/>
  <c r="P22" i="25"/>
  <c r="N22" i="25"/>
  <c r="M22" i="25"/>
  <c r="L22" i="25"/>
  <c r="K22" i="25"/>
  <c r="I22" i="25"/>
  <c r="H22" i="25"/>
  <c r="G22" i="25"/>
  <c r="F22" i="25"/>
  <c r="E22" i="25"/>
  <c r="D22" i="25"/>
  <c r="C21" i="25"/>
  <c r="C20" i="25"/>
  <c r="ML19" i="25"/>
  <c r="ML12" i="25" s="1"/>
  <c r="MD19" i="25"/>
  <c r="LX19" i="25"/>
  <c r="LX12" i="25" s="1"/>
  <c r="LF19" i="25"/>
  <c r="KR19" i="25"/>
  <c r="KR12" i="25" s="1"/>
  <c r="KO19" i="25"/>
  <c r="IE19" i="25"/>
  <c r="GD19" i="25"/>
  <c r="FT19" i="25"/>
  <c r="FT12" i="25" s="1"/>
  <c r="FQ19" i="25"/>
  <c r="FP19" i="25"/>
  <c r="FP12" i="25" s="1"/>
  <c r="FA19" i="25"/>
  <c r="EU19" i="25"/>
  <c r="EU12" i="25" s="1"/>
  <c r="DZ19" i="25"/>
  <c r="CW19" i="25"/>
  <c r="CP19" i="25"/>
  <c r="CM19" i="25"/>
  <c r="CM12" i="25" s="1"/>
  <c r="CJ19" i="25"/>
  <c r="BC19" i="25"/>
  <c r="AT19" i="25"/>
  <c r="AS19" i="25"/>
  <c r="AR19" i="25"/>
  <c r="AE19" i="25"/>
  <c r="AB19" i="25"/>
  <c r="AB12" i="25" s="1"/>
  <c r="Y19" i="25"/>
  <c r="V19" i="25"/>
  <c r="O19" i="25"/>
  <c r="L19" i="25"/>
  <c r="L12" i="25" s="1"/>
  <c r="C19" i="25"/>
  <c r="C18" i="25"/>
  <c r="C17" i="25"/>
  <c r="HZ16" i="25"/>
  <c r="HN16" i="25"/>
  <c r="HN12" i="25" s="1"/>
  <c r="FM16" i="25"/>
  <c r="CM16" i="25"/>
  <c r="BG16" i="25"/>
  <c r="AR16" i="25"/>
  <c r="AR12" i="25" s="1"/>
  <c r="V16" i="25"/>
  <c r="C15" i="25"/>
  <c r="C14" i="25"/>
  <c r="JQ13" i="25"/>
  <c r="IB13" i="25"/>
  <c r="IB12" i="25" s="1"/>
  <c r="X13" i="25"/>
  <c r="C13" i="25" s="1"/>
  <c r="MW12" i="25"/>
  <c r="MV12" i="25"/>
  <c r="MU12" i="25"/>
  <c r="MT12" i="25"/>
  <c r="MS12" i="25"/>
  <c r="MR12" i="25"/>
  <c r="MQ12" i="25"/>
  <c r="MP12" i="25"/>
  <c r="MO12" i="25"/>
  <c r="MN12" i="25"/>
  <c r="MM12" i="25"/>
  <c r="MK12" i="25"/>
  <c r="MJ12" i="25"/>
  <c r="MI12" i="25"/>
  <c r="MH12" i="25"/>
  <c r="MG12" i="25"/>
  <c r="MF12" i="25"/>
  <c r="ME12" i="25"/>
  <c r="MD12" i="25"/>
  <c r="MC12" i="25"/>
  <c r="MB12" i="25"/>
  <c r="MA12" i="25"/>
  <c r="LZ12" i="25"/>
  <c r="LY12" i="25"/>
  <c r="LW12" i="25"/>
  <c r="LV12" i="25"/>
  <c r="LU12" i="25"/>
  <c r="LT12" i="25"/>
  <c r="LS12" i="25"/>
  <c r="LR12" i="25"/>
  <c r="LQ12" i="25"/>
  <c r="LP12" i="25"/>
  <c r="LO12" i="25"/>
  <c r="LN12" i="25"/>
  <c r="LM12" i="25"/>
  <c r="LL12" i="25"/>
  <c r="LK12" i="25"/>
  <c r="LJ12" i="25"/>
  <c r="LI12" i="25"/>
  <c r="LH12" i="25"/>
  <c r="LG12" i="25"/>
  <c r="LF12" i="25"/>
  <c r="LE12" i="25"/>
  <c r="LD12" i="25"/>
  <c r="LC12" i="25"/>
  <c r="LB12" i="25"/>
  <c r="LA12" i="25"/>
  <c r="KZ12" i="25"/>
  <c r="KY12" i="25"/>
  <c r="KX12" i="25"/>
  <c r="KW12" i="25"/>
  <c r="KV12" i="25"/>
  <c r="KU12" i="25"/>
  <c r="KT12" i="25"/>
  <c r="KS12" i="25"/>
  <c r="KQ12" i="25"/>
  <c r="KP12" i="25"/>
  <c r="KO12" i="25"/>
  <c r="KN12" i="25"/>
  <c r="KM12" i="25"/>
  <c r="KL12" i="25"/>
  <c r="KK12" i="25"/>
  <c r="KJ12" i="25"/>
  <c r="KI12" i="25"/>
  <c r="KH12" i="25"/>
  <c r="KG12" i="25"/>
  <c r="KF12" i="25"/>
  <c r="KE12" i="25"/>
  <c r="KD12" i="25"/>
  <c r="KC12" i="25"/>
  <c r="KB12" i="25"/>
  <c r="KA12" i="25"/>
  <c r="JZ12" i="25"/>
  <c r="JY12" i="25"/>
  <c r="JX12" i="25"/>
  <c r="JW12" i="25"/>
  <c r="JV12" i="25"/>
  <c r="JU12" i="25"/>
  <c r="JT12" i="25"/>
  <c r="JS12" i="25"/>
  <c r="JR12" i="25"/>
  <c r="JQ12" i="25"/>
  <c r="JP12" i="25"/>
  <c r="JO12" i="25"/>
  <c r="JN12" i="25"/>
  <c r="JM12" i="25"/>
  <c r="JL12" i="25"/>
  <c r="JK12" i="25"/>
  <c r="JJ12" i="25"/>
  <c r="JI12" i="25"/>
  <c r="JH12" i="25"/>
  <c r="JG12" i="25"/>
  <c r="JF12" i="25"/>
  <c r="JE12" i="25"/>
  <c r="JD12" i="25"/>
  <c r="JC12" i="25"/>
  <c r="JB12" i="25"/>
  <c r="JA12" i="25"/>
  <c r="IZ12" i="25"/>
  <c r="IY12" i="25"/>
  <c r="IX12" i="25"/>
  <c r="IW12" i="25"/>
  <c r="IV12" i="25"/>
  <c r="IU12" i="25"/>
  <c r="IT12" i="25"/>
  <c r="IS12" i="25"/>
  <c r="IR12" i="25"/>
  <c r="IQ12" i="25"/>
  <c r="IP12" i="25"/>
  <c r="IO12" i="25"/>
  <c r="IN12" i="25"/>
  <c r="IM12" i="25"/>
  <c r="IL12" i="25"/>
  <c r="IK12" i="25"/>
  <c r="IJ12" i="25"/>
  <c r="II12" i="25"/>
  <c r="IH12" i="25"/>
  <c r="IG12" i="25"/>
  <c r="IF12" i="25"/>
  <c r="IE12" i="25"/>
  <c r="ID12" i="25"/>
  <c r="IC12" i="25"/>
  <c r="IA12" i="25"/>
  <c r="HZ12" i="25"/>
  <c r="HY12" i="25"/>
  <c r="HX12" i="25"/>
  <c r="HW12" i="25"/>
  <c r="HV12" i="25"/>
  <c r="HU12" i="25"/>
  <c r="HT12" i="25"/>
  <c r="HS12" i="25"/>
  <c r="HR12" i="25"/>
  <c r="HQ12" i="25"/>
  <c r="HP12" i="25"/>
  <c r="HO12" i="25"/>
  <c r="HM12" i="25"/>
  <c r="HL12" i="25"/>
  <c r="HK12" i="25"/>
  <c r="HJ12" i="25"/>
  <c r="HI12" i="25"/>
  <c r="HH12" i="25"/>
  <c r="HG12" i="25"/>
  <c r="HF12" i="25"/>
  <c r="HE12" i="25"/>
  <c r="HD12" i="25"/>
  <c r="HC12" i="25"/>
  <c r="HB12" i="25"/>
  <c r="HA12" i="25"/>
  <c r="GZ12" i="25"/>
  <c r="GY12" i="25"/>
  <c r="GX12" i="25"/>
  <c r="GW12" i="25"/>
  <c r="GV12" i="25"/>
  <c r="GU12" i="25"/>
  <c r="GT12" i="25"/>
  <c r="GS12" i="25"/>
  <c r="GR12" i="25"/>
  <c r="GQ12" i="25"/>
  <c r="GP12" i="25"/>
  <c r="GO12" i="25"/>
  <c r="GN12" i="25"/>
  <c r="GM12" i="25"/>
  <c r="GL12" i="25"/>
  <c r="GK12" i="25"/>
  <c r="GJ12" i="25"/>
  <c r="GI12" i="25"/>
  <c r="GH12" i="25"/>
  <c r="GG12" i="25"/>
  <c r="GF12" i="25"/>
  <c r="GE12" i="25"/>
  <c r="GD12" i="25"/>
  <c r="GC12" i="25"/>
  <c r="GB12" i="25"/>
  <c r="GA12" i="25"/>
  <c r="FZ12" i="25"/>
  <c r="FY12" i="25"/>
  <c r="FX12" i="25"/>
  <c r="FW12" i="25"/>
  <c r="FV12" i="25"/>
  <c r="FU12" i="25"/>
  <c r="FS12" i="25"/>
  <c r="FR12" i="25"/>
  <c r="FQ12" i="25"/>
  <c r="FO12" i="25"/>
  <c r="FN12" i="25"/>
  <c r="FM12" i="25"/>
  <c r="FL12" i="25"/>
  <c r="FK12" i="25"/>
  <c r="FJ12" i="25"/>
  <c r="FI12" i="25"/>
  <c r="FH12" i="25"/>
  <c r="FG12" i="25"/>
  <c r="FF12" i="25"/>
  <c r="FE12" i="25"/>
  <c r="FD12" i="25"/>
  <c r="FC12" i="25"/>
  <c r="FB12" i="25"/>
  <c r="FA12" i="25"/>
  <c r="EZ12" i="25"/>
  <c r="EY12" i="25"/>
  <c r="EX12" i="25"/>
  <c r="EW12" i="25"/>
  <c r="EV12" i="25"/>
  <c r="ET12" i="25"/>
  <c r="ES12" i="25"/>
  <c r="ER12" i="25"/>
  <c r="EQ12" i="25"/>
  <c r="EP12" i="25"/>
  <c r="EO12" i="25"/>
  <c r="EN12" i="25"/>
  <c r="EM12" i="25"/>
  <c r="EL12" i="25"/>
  <c r="EK12" i="25"/>
  <c r="EJ12" i="25"/>
  <c r="EI12" i="25"/>
  <c r="EH12" i="25"/>
  <c r="EG12" i="25"/>
  <c r="EF12" i="25"/>
  <c r="EE12" i="25"/>
  <c r="ED12" i="25"/>
  <c r="EC12" i="25"/>
  <c r="EB12" i="25"/>
  <c r="EA12" i="25"/>
  <c r="DZ12" i="25"/>
  <c r="DY12" i="25"/>
  <c r="DX12" i="25"/>
  <c r="DW12" i="25"/>
  <c r="DV12" i="25"/>
  <c r="DU12" i="25"/>
  <c r="DT12" i="25"/>
  <c r="DS12" i="25"/>
  <c r="DR12" i="25"/>
  <c r="DQ12" i="25"/>
  <c r="DP12" i="25"/>
  <c r="DO12" i="25"/>
  <c r="DN12" i="25"/>
  <c r="DM12" i="25"/>
  <c r="DL12" i="25"/>
  <c r="DK12" i="25"/>
  <c r="DJ12" i="25"/>
  <c r="DI12" i="25"/>
  <c r="DH12" i="25"/>
  <c r="DG12" i="25"/>
  <c r="DF12" i="25"/>
  <c r="DE12" i="25"/>
  <c r="DD12" i="25"/>
  <c r="DC12" i="25"/>
  <c r="DB12" i="25"/>
  <c r="DA12" i="25"/>
  <c r="CZ12" i="25"/>
  <c r="CY12" i="25"/>
  <c r="CX12" i="25"/>
  <c r="CW12" i="25"/>
  <c r="CV12" i="25"/>
  <c r="CU12" i="25"/>
  <c r="CT12" i="25"/>
  <c r="CS12" i="25"/>
  <c r="CR12" i="25"/>
  <c r="CQ12" i="25"/>
  <c r="CP12" i="25"/>
  <c r="CO12" i="25"/>
  <c r="CN12" i="25"/>
  <c r="CL12" i="25"/>
  <c r="CK12" i="25"/>
  <c r="CJ12" i="25"/>
  <c r="CI12" i="25"/>
  <c r="CH12" i="25"/>
  <c r="CG12" i="25"/>
  <c r="CF12" i="25"/>
  <c r="CE12" i="25"/>
  <c r="CD12" i="25"/>
  <c r="CC12" i="25"/>
  <c r="CB12" i="25"/>
  <c r="CA12" i="25"/>
  <c r="BZ12" i="25"/>
  <c r="BY12" i="25"/>
  <c r="BX12" i="25"/>
  <c r="BW12" i="25"/>
  <c r="BV12" i="25"/>
  <c r="BU12" i="25"/>
  <c r="BT12" i="25"/>
  <c r="BS12" i="25"/>
  <c r="BR12" i="25"/>
  <c r="BQ12" i="25"/>
  <c r="BP12" i="25"/>
  <c r="BO12" i="25"/>
  <c r="BN12" i="25"/>
  <c r="BM12" i="25"/>
  <c r="BL12" i="25"/>
  <c r="BK12" i="25"/>
  <c r="BJ12" i="25"/>
  <c r="BI12" i="25"/>
  <c r="BH12" i="25"/>
  <c r="BG12" i="25"/>
  <c r="BF12" i="25"/>
  <c r="BE12" i="25"/>
  <c r="BD12" i="25"/>
  <c r="BC12" i="25"/>
  <c r="BB12" i="25"/>
  <c r="BA12" i="25"/>
  <c r="AZ12" i="25"/>
  <c r="AY12" i="25"/>
  <c r="AX12" i="25"/>
  <c r="AW12" i="25"/>
  <c r="AV12" i="25"/>
  <c r="AU12" i="25"/>
  <c r="AT12" i="25"/>
  <c r="AS12" i="25"/>
  <c r="AQ12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C12" i="25"/>
  <c r="AA12" i="25"/>
  <c r="Z12" i="25"/>
  <c r="Y12" i="25"/>
  <c r="W12" i="25"/>
  <c r="V12" i="25"/>
  <c r="U12" i="25"/>
  <c r="T12" i="25"/>
  <c r="S12" i="25"/>
  <c r="R12" i="25"/>
  <c r="Q12" i="25"/>
  <c r="P12" i="25"/>
  <c r="O12" i="25"/>
  <c r="N12" i="25"/>
  <c r="M12" i="25"/>
  <c r="K12" i="25"/>
  <c r="J12" i="25"/>
  <c r="I12" i="25"/>
  <c r="H12" i="25"/>
  <c r="G12" i="25"/>
  <c r="F12" i="25"/>
  <c r="E12" i="25"/>
  <c r="D12" i="25"/>
  <c r="LL6" i="25"/>
  <c r="LM6" i="25" s="1"/>
  <c r="LN6" i="25" s="1"/>
  <c r="LO6" i="25" s="1"/>
  <c r="LP6" i="25" s="1"/>
  <c r="LQ6" i="25" s="1"/>
  <c r="LR6" i="25" s="1"/>
  <c r="LS6" i="25" s="1"/>
  <c r="LT6" i="25" s="1"/>
  <c r="LU6" i="25" s="1"/>
  <c r="LV6" i="25" s="1"/>
  <c r="LW6" i="25" s="1"/>
  <c r="LX6" i="25" s="1"/>
  <c r="LY6" i="25" s="1"/>
  <c r="LZ6" i="25" s="1"/>
  <c r="MA6" i="25" s="1"/>
  <c r="MB6" i="25" s="1"/>
  <c r="MC6" i="25" s="1"/>
  <c r="MD6" i="25" s="1"/>
  <c r="ME6" i="25" s="1"/>
  <c r="MF6" i="25" s="1"/>
  <c r="MG6" i="25" s="1"/>
  <c r="MH6" i="25" s="1"/>
  <c r="MI6" i="25" s="1"/>
  <c r="MJ6" i="25" s="1"/>
  <c r="MK6" i="25" s="1"/>
  <c r="ML6" i="25" s="1"/>
  <c r="MM6" i="25" s="1"/>
  <c r="MN6" i="25" s="1"/>
  <c r="MO6" i="25" s="1"/>
  <c r="MP6" i="25" s="1"/>
  <c r="MQ6" i="25" s="1"/>
  <c r="MR6" i="25" s="1"/>
  <c r="MS6" i="25" s="1"/>
  <c r="MT6" i="25" s="1"/>
  <c r="MU6" i="25" s="1"/>
  <c r="MV6" i="25" s="1"/>
  <c r="MW6" i="25" s="1"/>
  <c r="LD6" i="25"/>
  <c r="LE6" i="25" s="1"/>
  <c r="LF6" i="25" s="1"/>
  <c r="LG6" i="25" s="1"/>
  <c r="LH6" i="25" s="1"/>
  <c r="LI6" i="25" s="1"/>
  <c r="LJ6" i="25" s="1"/>
  <c r="HB6" i="25"/>
  <c r="HC6" i="25" s="1"/>
  <c r="HD6" i="25" s="1"/>
  <c r="HE6" i="25" s="1"/>
  <c r="HF6" i="25" s="1"/>
  <c r="HG6" i="25" s="1"/>
  <c r="HH6" i="25" s="1"/>
  <c r="HI6" i="25" s="1"/>
  <c r="HJ6" i="25" s="1"/>
  <c r="HK6" i="25" s="1"/>
  <c r="HL6" i="25" s="1"/>
  <c r="HM6" i="25" s="1"/>
  <c r="HN6" i="25" s="1"/>
  <c r="HO6" i="25" s="1"/>
  <c r="HP6" i="25" s="1"/>
  <c r="HQ6" i="25" s="1"/>
  <c r="HR6" i="25" s="1"/>
  <c r="HS6" i="25" s="1"/>
  <c r="HT6" i="25" s="1"/>
  <c r="HU6" i="25" s="1"/>
  <c r="HV6" i="25" s="1"/>
  <c r="HW6" i="25" s="1"/>
  <c r="HX6" i="25" s="1"/>
  <c r="HY6" i="25" s="1"/>
  <c r="HZ6" i="25" s="1"/>
  <c r="IA6" i="25" s="1"/>
  <c r="IB6" i="25" s="1"/>
  <c r="IC6" i="25" s="1"/>
  <c r="ID6" i="25" s="1"/>
  <c r="IE6" i="25" s="1"/>
  <c r="IF6" i="25" s="1"/>
  <c r="IG6" i="25" s="1"/>
  <c r="IH6" i="25" s="1"/>
  <c r="II6" i="25" s="1"/>
  <c r="IJ6" i="25" s="1"/>
  <c r="IK6" i="25" s="1"/>
  <c r="IL6" i="25" s="1"/>
  <c r="IM6" i="25" s="1"/>
  <c r="IN6" i="25" s="1"/>
  <c r="IO6" i="25" s="1"/>
  <c r="IP6" i="25" s="1"/>
  <c r="IQ6" i="25" s="1"/>
  <c r="IR6" i="25" s="1"/>
  <c r="IS6" i="25" s="1"/>
  <c r="IT6" i="25" s="1"/>
  <c r="IU6" i="25" s="1"/>
  <c r="IV6" i="25" s="1"/>
  <c r="IW6" i="25" s="1"/>
  <c r="IX6" i="25" s="1"/>
  <c r="IY6" i="25" s="1"/>
  <c r="IZ6" i="25" s="1"/>
  <c r="JA6" i="25" s="1"/>
  <c r="JB6" i="25" s="1"/>
  <c r="JC6" i="25" s="1"/>
  <c r="JD6" i="25" s="1"/>
  <c r="JE6" i="25" s="1"/>
  <c r="JF6" i="25" s="1"/>
  <c r="JG6" i="25" s="1"/>
  <c r="JH6" i="25" s="1"/>
  <c r="JI6" i="25" s="1"/>
  <c r="JJ6" i="25" s="1"/>
  <c r="JK6" i="25" s="1"/>
  <c r="JL6" i="25" s="1"/>
  <c r="JM6" i="25" s="1"/>
  <c r="JN6" i="25" s="1"/>
  <c r="JO6" i="25" s="1"/>
  <c r="JP6" i="25" s="1"/>
  <c r="JQ6" i="25" s="1"/>
  <c r="JR6" i="25" s="1"/>
  <c r="JS6" i="25" s="1"/>
  <c r="JT6" i="25" s="1"/>
  <c r="JU6" i="25" s="1"/>
  <c r="JV6" i="25" s="1"/>
  <c r="JW6" i="25" s="1"/>
  <c r="JX6" i="25" s="1"/>
  <c r="JY6" i="25" s="1"/>
  <c r="JZ6" i="25" s="1"/>
  <c r="KA6" i="25" s="1"/>
  <c r="KB6" i="25" s="1"/>
  <c r="KC6" i="25" s="1"/>
  <c r="KD6" i="25" s="1"/>
  <c r="KE6" i="25" s="1"/>
  <c r="KF6" i="25" s="1"/>
  <c r="KG6" i="25" s="1"/>
  <c r="KH6" i="25" s="1"/>
  <c r="KI6" i="25" s="1"/>
  <c r="KJ6" i="25" s="1"/>
  <c r="KK6" i="25" s="1"/>
  <c r="KL6" i="25" s="1"/>
  <c r="KM6" i="25" s="1"/>
  <c r="KN6" i="25" s="1"/>
  <c r="KO6" i="25" s="1"/>
  <c r="KP6" i="25" s="1"/>
  <c r="KQ6" i="25" s="1"/>
  <c r="KR6" i="25" s="1"/>
  <c r="KS6" i="25" s="1"/>
  <c r="KT6" i="25" s="1"/>
  <c r="KU6" i="25" s="1"/>
  <c r="KV6" i="25" s="1"/>
  <c r="KW6" i="25" s="1"/>
  <c r="KX6" i="25" s="1"/>
  <c r="KY6" i="25" s="1"/>
  <c r="KZ6" i="25" s="1"/>
  <c r="LA6" i="25" s="1"/>
  <c r="LB6" i="25" s="1"/>
  <c r="EJ6" i="25"/>
  <c r="EK6" i="25" s="1"/>
  <c r="EL6" i="25" s="1"/>
  <c r="EM6" i="25" s="1"/>
  <c r="EN6" i="25" s="1"/>
  <c r="EO6" i="25" s="1"/>
  <c r="EP6" i="25" s="1"/>
  <c r="EQ6" i="25" s="1"/>
  <c r="ER6" i="25" s="1"/>
  <c r="ES6" i="25" s="1"/>
  <c r="ET6" i="25" s="1"/>
  <c r="EU6" i="25" s="1"/>
  <c r="EV6" i="25" s="1"/>
  <c r="EW6" i="25" s="1"/>
  <c r="EX6" i="25" s="1"/>
  <c r="EY6" i="25" s="1"/>
  <c r="EZ6" i="25" s="1"/>
  <c r="FA6" i="25" s="1"/>
  <c r="FB6" i="25" s="1"/>
  <c r="FC6" i="25" s="1"/>
  <c r="FD6" i="25" s="1"/>
  <c r="FE6" i="25" s="1"/>
  <c r="FF6" i="25" s="1"/>
  <c r="FG6" i="25" s="1"/>
  <c r="FH6" i="25" s="1"/>
  <c r="FI6" i="25" s="1"/>
  <c r="FJ6" i="25" s="1"/>
  <c r="FK6" i="25" s="1"/>
  <c r="FL6" i="25" s="1"/>
  <c r="FM6" i="25" s="1"/>
  <c r="FN6" i="25" s="1"/>
  <c r="FO6" i="25" s="1"/>
  <c r="FP6" i="25" s="1"/>
  <c r="FQ6" i="25" s="1"/>
  <c r="FR6" i="25" s="1"/>
  <c r="FS6" i="25" s="1"/>
  <c r="FT6" i="25" s="1"/>
  <c r="FU6" i="25" s="1"/>
  <c r="FV6" i="25" s="1"/>
  <c r="FW6" i="25" s="1"/>
  <c r="FX6" i="25" s="1"/>
  <c r="FY6" i="25" s="1"/>
  <c r="FZ6" i="25" s="1"/>
  <c r="GA6" i="25" s="1"/>
  <c r="GB6" i="25" s="1"/>
  <c r="GC6" i="25" s="1"/>
  <c r="GD6" i="25" s="1"/>
  <c r="GE6" i="25" s="1"/>
  <c r="GF6" i="25" s="1"/>
  <c r="GG6" i="25" s="1"/>
  <c r="GH6" i="25" s="1"/>
  <c r="GI6" i="25" s="1"/>
  <c r="GJ6" i="25" s="1"/>
  <c r="GK6" i="25" s="1"/>
  <c r="GL6" i="25" s="1"/>
  <c r="GM6" i="25" s="1"/>
  <c r="GN6" i="25" s="1"/>
  <c r="GO6" i="25" s="1"/>
  <c r="GP6" i="25" s="1"/>
  <c r="GQ6" i="25" s="1"/>
  <c r="GR6" i="25" s="1"/>
  <c r="GS6" i="25" s="1"/>
  <c r="GT6" i="25" s="1"/>
  <c r="GU6" i="25" s="1"/>
  <c r="GV6" i="25" s="1"/>
  <c r="GW6" i="25" s="1"/>
  <c r="GX6" i="25" s="1"/>
  <c r="GY6" i="25" s="1"/>
  <c r="GZ6" i="25" s="1"/>
  <c r="C43" i="25" l="1"/>
  <c r="C49" i="25"/>
  <c r="C16" i="25"/>
  <c r="C12" i="25" s="1"/>
  <c r="C23" i="25"/>
  <c r="C22" i="25" s="1"/>
  <c r="J22" i="25"/>
  <c r="X12" i="25"/>
  <c r="AR49" i="25"/>
  <c r="MV23" i="24"/>
  <c r="MU23" i="24"/>
  <c r="MQ23" i="24"/>
  <c r="MP23" i="24"/>
  <c r="ML23" i="24"/>
  <c r="MJ23" i="24"/>
  <c r="MI23" i="24"/>
  <c r="MH23" i="24"/>
  <c r="MF23" i="24"/>
  <c r="ME23" i="24"/>
  <c r="MD23" i="24"/>
  <c r="MC23" i="24"/>
  <c r="MB23" i="24"/>
  <c r="LY23" i="24"/>
  <c r="LX23" i="24"/>
  <c r="LW23" i="24"/>
  <c r="LV23" i="24"/>
  <c r="LU23" i="24"/>
  <c r="LR23" i="24"/>
  <c r="LM23" i="24"/>
  <c r="LF23" i="24"/>
  <c r="KY23" i="24"/>
  <c r="KW23" i="24"/>
  <c r="KR23" i="24"/>
  <c r="KL23" i="24"/>
  <c r="KG23" i="24"/>
  <c r="JX23" i="24"/>
  <c r="JT23" i="24"/>
  <c r="JQ23" i="24"/>
  <c r="JL23" i="24"/>
  <c r="JH23" i="24"/>
  <c r="JF23" i="24"/>
  <c r="JE23" i="24"/>
  <c r="JD23" i="24"/>
  <c r="JA23" i="24"/>
  <c r="IZ23" i="24"/>
  <c r="IR23" i="24"/>
  <c r="IQ23" i="24"/>
  <c r="IP23" i="24"/>
  <c r="IO23" i="24"/>
  <c r="IM23" i="24"/>
  <c r="II23" i="24"/>
  <c r="IF23" i="24"/>
  <c r="IC23" i="24"/>
  <c r="IA23" i="24"/>
  <c r="HO23" i="24"/>
  <c r="HK23" i="24"/>
  <c r="HF23" i="24"/>
  <c r="GX23" i="24"/>
  <c r="GU23" i="24"/>
  <c r="GS23" i="24"/>
  <c r="GR23" i="24"/>
  <c r="GO23" i="24"/>
  <c r="FY23" i="24"/>
  <c r="FX23" i="24"/>
  <c r="FW23" i="24"/>
  <c r="FP23" i="24"/>
  <c r="FO23" i="24"/>
  <c r="FN23" i="24"/>
  <c r="FM23" i="24"/>
  <c r="FJ23" i="24"/>
  <c r="FI23" i="24"/>
  <c r="FH23" i="24"/>
  <c r="FF23" i="24"/>
  <c r="FE23" i="24"/>
  <c r="FD23" i="24"/>
  <c r="EZ23" i="24"/>
  <c r="EY23" i="24"/>
  <c r="EX23" i="24"/>
  <c r="EU23" i="24"/>
  <c r="ET23" i="24"/>
  <c r="ES23" i="24"/>
  <c r="ER23" i="24"/>
  <c r="EQ23" i="24"/>
  <c r="EP23" i="24"/>
  <c r="EM23" i="24"/>
  <c r="EL23" i="24"/>
  <c r="EK23" i="24"/>
  <c r="EJ23" i="24"/>
  <c r="EI23" i="24"/>
  <c r="EG23" i="24"/>
  <c r="EE23" i="24"/>
  <c r="EB23" i="24"/>
  <c r="EA23" i="24"/>
  <c r="DZ23" i="24"/>
  <c r="DW23" i="24"/>
  <c r="DV23" i="24"/>
  <c r="DU23" i="24"/>
  <c r="DS23" i="24"/>
  <c r="DR23" i="24"/>
  <c r="DP23" i="24"/>
  <c r="DO23" i="24"/>
  <c r="DK23" i="24"/>
  <c r="DJ23" i="24"/>
  <c r="DI23" i="24"/>
  <c r="CO23" i="24"/>
  <c r="CM23" i="24"/>
  <c r="CK23" i="24"/>
  <c r="CI23" i="24"/>
  <c r="CH23" i="24"/>
  <c r="CG23" i="24"/>
  <c r="CF23" i="24"/>
  <c r="BW23" i="24"/>
  <c r="BS23" i="24"/>
  <c r="BR23" i="24"/>
  <c r="BL23" i="24"/>
  <c r="BJ23" i="24"/>
  <c r="BH23" i="24"/>
  <c r="BG23" i="24"/>
  <c r="BC23" i="24"/>
  <c r="BB23" i="24"/>
  <c r="AZ23" i="24"/>
  <c r="AX23" i="24"/>
  <c r="AW23" i="24"/>
  <c r="AS23" i="24"/>
  <c r="AP23" i="24"/>
  <c r="AL23" i="24"/>
  <c r="AI23" i="24"/>
  <c r="AD23" i="24"/>
  <c r="W23" i="24" l="1"/>
  <c r="V23" i="24"/>
  <c r="T23" i="24"/>
  <c r="S23" i="24"/>
  <c r="MT23" i="24"/>
  <c r="N23" i="24"/>
  <c r="J23" i="24"/>
  <c r="MG23" i="24"/>
  <c r="IX24" i="24"/>
  <c r="BJ25" i="24"/>
  <c r="EY25" i="24"/>
  <c r="DQ25" i="24"/>
  <c r="EW25" i="24"/>
  <c r="J25" i="24"/>
  <c r="FM25" i="24"/>
  <c r="KP43" i="24"/>
  <c r="CP43" i="24"/>
  <c r="FC43" i="24"/>
  <c r="FM50" i="24"/>
  <c r="ML49" i="24"/>
  <c r="EP49" i="24"/>
  <c r="IP49" i="24"/>
  <c r="HR50" i="24"/>
  <c r="HR49" i="24"/>
  <c r="CJ50" i="24"/>
  <c r="BJ50" i="24"/>
  <c r="BC49" i="24"/>
  <c r="AR50" i="24"/>
  <c r="JL50" i="24"/>
  <c r="AE49" i="24"/>
  <c r="FT45" i="24"/>
  <c r="IB45" i="24"/>
  <c r="IK45" i="24"/>
  <c r="ML45" i="24"/>
  <c r="FR45" i="24"/>
  <c r="ML44" i="24"/>
  <c r="AB42" i="24"/>
  <c r="AL45" i="24"/>
  <c r="LV45" i="24"/>
  <c r="CH44" i="24"/>
  <c r="AM44" i="24"/>
  <c r="BL44" i="24"/>
  <c r="F44" i="24"/>
  <c r="JL44" i="24"/>
  <c r="DK45" i="24"/>
  <c r="DK44" i="24"/>
  <c r="EB45" i="24"/>
  <c r="EB44" i="24"/>
  <c r="CS45" i="24"/>
  <c r="FY45" i="24"/>
  <c r="IH45" i="24"/>
  <c r="JJ45" i="24"/>
  <c r="BN45" i="24"/>
  <c r="HM45" i="24"/>
  <c r="GX45" i="24"/>
  <c r="AX45" i="24"/>
  <c r="Z45" i="24"/>
  <c r="BT45" i="24"/>
  <c r="BQ45" i="24"/>
  <c r="EY45" i="24"/>
  <c r="IP45" i="24"/>
  <c r="BF45" i="24"/>
  <c r="BB45" i="24"/>
  <c r="BE45" i="24"/>
  <c r="JN45" i="24"/>
  <c r="EN47" i="24"/>
  <c r="EN45" i="24"/>
  <c r="EN44" i="24"/>
  <c r="EN43" i="24"/>
  <c r="IU24" i="24"/>
  <c r="FR24" i="24" l="1"/>
  <c r="GR24" i="24"/>
  <c r="IS24" i="24"/>
  <c r="FW24" i="24"/>
  <c r="FP24" i="24"/>
  <c r="FZ24" i="24"/>
  <c r="GA24" i="24"/>
  <c r="FD24" i="24"/>
  <c r="FC24" i="24"/>
  <c r="FB24" i="24"/>
  <c r="FA24" i="24"/>
  <c r="EW24" i="24"/>
  <c r="EV24" i="24"/>
  <c r="JD24" i="24"/>
  <c r="JC24" i="24"/>
  <c r="FO24" i="24"/>
  <c r="IK24" i="24"/>
  <c r="IL24" i="24"/>
  <c r="HP24" i="24"/>
  <c r="DU24" i="24"/>
  <c r="DT24" i="24"/>
  <c r="DN24" i="24"/>
  <c r="DS24" i="24"/>
  <c r="DQ24" i="24"/>
  <c r="DP24" i="24"/>
  <c r="DL24" i="24"/>
  <c r="EN24" i="24"/>
  <c r="EO24" i="24"/>
  <c r="IW24" i="24"/>
  <c r="MD24" i="24"/>
  <c r="MC24" i="24"/>
  <c r="MA24" i="24"/>
  <c r="LZ24" i="24"/>
  <c r="LY24" i="24"/>
  <c r="IV24" i="24"/>
  <c r="LX24" i="24"/>
  <c r="MI24" i="24"/>
  <c r="LV24" i="24"/>
  <c r="LU24" i="24"/>
  <c r="EK24" i="24"/>
  <c r="EJ24" i="24"/>
  <c r="EH24" i="24"/>
  <c r="EF24" i="24"/>
  <c r="ED24" i="24"/>
  <c r="EC24" i="24"/>
  <c r="EA24" i="24"/>
  <c r="IO24" i="24"/>
  <c r="IO21" i="24" s="1"/>
  <c r="FG24" i="24"/>
  <c r="MQ24" i="24"/>
  <c r="MN24" i="24"/>
  <c r="MK24" i="24"/>
  <c r="FH24" i="24"/>
  <c r="FK24" i="24"/>
  <c r="FL24" i="24"/>
  <c r="FM24" i="24"/>
  <c r="MR24" i="24"/>
  <c r="MS24" i="24"/>
  <c r="MT24" i="24"/>
  <c r="LQ24" i="24"/>
  <c r="LN24" i="24"/>
  <c r="LK24" i="24"/>
  <c r="LH24" i="24"/>
  <c r="LG24" i="24"/>
  <c r="LF24" i="24"/>
  <c r="DE24" i="24"/>
  <c r="DD24" i="24"/>
  <c r="H24" i="24" l="1"/>
  <c r="II24" i="24"/>
  <c r="DB24" i="24"/>
  <c r="CY24" i="24"/>
  <c r="IC24" i="24"/>
  <c r="HY24" i="24"/>
  <c r="LB24" i="24" l="1"/>
  <c r="HW24" i="24"/>
  <c r="CW24" i="24"/>
  <c r="KY24" i="24"/>
  <c r="KY21" i="24" s="1"/>
  <c r="KX24" i="24"/>
  <c r="KW24" i="24"/>
  <c r="KP24" i="24"/>
  <c r="KO24" i="24"/>
  <c r="KN24" i="24"/>
  <c r="CS24" i="24"/>
  <c r="CP24" i="24"/>
  <c r="CO24" i="24"/>
  <c r="CM24" i="24"/>
  <c r="CL24" i="24"/>
  <c r="CJ24" i="24"/>
  <c r="CI24" i="24"/>
  <c r="CD24" i="24"/>
  <c r="CA24" i="24"/>
  <c r="HN24" i="24"/>
  <c r="BV24" i="24"/>
  <c r="HJ24" i="24"/>
  <c r="KK24" i="24"/>
  <c r="BQ24" i="24"/>
  <c r="KE24" i="24"/>
  <c r="KD24" i="24"/>
  <c r="KC24" i="24"/>
  <c r="KA24" i="24"/>
  <c r="BG24" i="24"/>
  <c r="GZ24" i="24"/>
  <c r="GV24" i="24"/>
  <c r="BA24" i="24"/>
  <c r="AY24" i="24"/>
  <c r="AX24" i="24"/>
  <c r="JW24" i="24"/>
  <c r="JU24" i="24"/>
  <c r="JT24" i="24"/>
  <c r="JT21" i="24" s="1"/>
  <c r="JO24" i="24"/>
  <c r="GQ24" i="24"/>
  <c r="AU24" i="24"/>
  <c r="AS24" i="24"/>
  <c r="AR24" i="24"/>
  <c r="AQ24" i="24"/>
  <c r="GP24" i="24"/>
  <c r="GH24" i="24"/>
  <c r="GH21" i="24" s="1"/>
  <c r="GG24" i="24"/>
  <c r="GE24" i="24"/>
  <c r="AE24" i="24"/>
  <c r="AB24" i="24"/>
  <c r="AA24" i="24"/>
  <c r="Z24" i="24"/>
  <c r="X24" i="24"/>
  <c r="Y24" i="24"/>
  <c r="V24" i="24"/>
  <c r="T24" i="24"/>
  <c r="R24" i="24"/>
  <c r="P24" i="24"/>
  <c r="O24" i="24"/>
  <c r="M24" i="24"/>
  <c r="L24" i="24"/>
  <c r="J24" i="24"/>
  <c r="F24" i="24"/>
  <c r="GI24" i="24"/>
  <c r="GO24" i="24"/>
  <c r="GS24" i="24"/>
  <c r="GS21" i="24" s="1"/>
  <c r="JR11" i="24"/>
  <c r="JR21" i="24"/>
  <c r="JR32" i="24"/>
  <c r="JR36" i="24"/>
  <c r="JR39" i="24"/>
  <c r="JR42" i="24"/>
  <c r="JR48" i="24"/>
  <c r="JR52" i="24"/>
  <c r="JP11" i="24"/>
  <c r="JP21" i="24"/>
  <c r="JP32" i="24"/>
  <c r="JP36" i="24"/>
  <c r="JP39" i="24"/>
  <c r="JP42" i="24"/>
  <c r="JP48" i="24"/>
  <c r="JP52" i="24"/>
  <c r="JW22" i="24"/>
  <c r="JQ12" i="24"/>
  <c r="JL22" i="24"/>
  <c r="IW22" i="24"/>
  <c r="IS22" i="24"/>
  <c r="IR22" i="24"/>
  <c r="IE18" i="24"/>
  <c r="IB12" i="24"/>
  <c r="IB11" i="24" s="1"/>
  <c r="HZ15" i="24"/>
  <c r="KG22" i="24"/>
  <c r="KO18" i="24"/>
  <c r="KR18" i="24"/>
  <c r="LF18" i="24"/>
  <c r="HX22" i="24"/>
  <c r="LX18" i="24"/>
  <c r="MD18" i="24"/>
  <c r="MD11" i="24" s="1"/>
  <c r="MI22" i="24"/>
  <c r="ML18" i="24"/>
  <c r="MV22" i="24"/>
  <c r="LC11" i="24"/>
  <c r="LD11" i="24"/>
  <c r="LE11" i="24"/>
  <c r="LF11" i="24"/>
  <c r="LG11" i="24"/>
  <c r="LH11" i="24"/>
  <c r="LI11" i="24"/>
  <c r="LJ11" i="24"/>
  <c r="LK11" i="24"/>
  <c r="LL11" i="24"/>
  <c r="LM11" i="24"/>
  <c r="LN11" i="24"/>
  <c r="LO11" i="24"/>
  <c r="LP11" i="24"/>
  <c r="LQ11" i="24"/>
  <c r="LR11" i="24"/>
  <c r="LS11" i="24"/>
  <c r="LT11" i="24"/>
  <c r="LU11" i="24"/>
  <c r="LV11" i="24"/>
  <c r="LW11" i="24"/>
  <c r="LX11" i="24"/>
  <c r="LY11" i="24"/>
  <c r="LZ11" i="24"/>
  <c r="MA11" i="24"/>
  <c r="MB11" i="24"/>
  <c r="MC11" i="24"/>
  <c r="ME11" i="24"/>
  <c r="MF11" i="24"/>
  <c r="MG11" i="24"/>
  <c r="MH11" i="24"/>
  <c r="MI11" i="24"/>
  <c r="MJ11" i="24"/>
  <c r="MK11" i="24"/>
  <c r="ML11" i="24"/>
  <c r="MM11" i="24"/>
  <c r="MN11" i="24"/>
  <c r="MO11" i="24"/>
  <c r="MP11" i="24"/>
  <c r="MQ11" i="24"/>
  <c r="MR11" i="24"/>
  <c r="MS11" i="24"/>
  <c r="MT11" i="24"/>
  <c r="MU11" i="24"/>
  <c r="MV11" i="24"/>
  <c r="MW11" i="24"/>
  <c r="LC21" i="24"/>
  <c r="LD21" i="24"/>
  <c r="LE21" i="24"/>
  <c r="LF21" i="24"/>
  <c r="LG21" i="24"/>
  <c r="LH21" i="24"/>
  <c r="LI21" i="24"/>
  <c r="LJ21" i="24"/>
  <c r="LK21" i="24"/>
  <c r="LL21" i="24"/>
  <c r="LM21" i="24"/>
  <c r="LN21" i="24"/>
  <c r="LO21" i="24"/>
  <c r="LP21" i="24"/>
  <c r="LQ21" i="24"/>
  <c r="LR21" i="24"/>
  <c r="LS21" i="24"/>
  <c r="LT21" i="24"/>
  <c r="LU21" i="24"/>
  <c r="LV21" i="24"/>
  <c r="LW21" i="24"/>
  <c r="LX21" i="24"/>
  <c r="LY21" i="24"/>
  <c r="LZ21" i="24"/>
  <c r="MA21" i="24"/>
  <c r="MB21" i="24"/>
  <c r="MC21" i="24"/>
  <c r="MD21" i="24"/>
  <c r="ME21" i="24"/>
  <c r="MF21" i="24"/>
  <c r="MG21" i="24"/>
  <c r="MH21" i="24"/>
  <c r="MI21" i="24"/>
  <c r="MJ21" i="24"/>
  <c r="MK21" i="24"/>
  <c r="ML21" i="24"/>
  <c r="MM21" i="24"/>
  <c r="MN21" i="24"/>
  <c r="MO21" i="24"/>
  <c r="MP21" i="24"/>
  <c r="MQ21" i="24"/>
  <c r="MR21" i="24"/>
  <c r="MS21" i="24"/>
  <c r="MT21" i="24"/>
  <c r="MU21" i="24"/>
  <c r="MV21" i="24"/>
  <c r="MW21" i="24"/>
  <c r="LC32" i="24"/>
  <c r="LD32" i="24"/>
  <c r="LE32" i="24"/>
  <c r="LF32" i="24"/>
  <c r="LG32" i="24"/>
  <c r="LH32" i="24"/>
  <c r="LI32" i="24"/>
  <c r="LJ32" i="24"/>
  <c r="LK32" i="24"/>
  <c r="LL32" i="24"/>
  <c r="LM32" i="24"/>
  <c r="LN32" i="24"/>
  <c r="LO32" i="24"/>
  <c r="LP32" i="24"/>
  <c r="LQ32" i="24"/>
  <c r="LR32" i="24"/>
  <c r="LS32" i="24"/>
  <c r="LT32" i="24"/>
  <c r="LU32" i="24"/>
  <c r="LV32" i="24"/>
  <c r="LW32" i="24"/>
  <c r="LX32" i="24"/>
  <c r="LY32" i="24"/>
  <c r="LZ32" i="24"/>
  <c r="MA32" i="24"/>
  <c r="MB32" i="24"/>
  <c r="MC32" i="24"/>
  <c r="MD32" i="24"/>
  <c r="ME32" i="24"/>
  <c r="MF32" i="24"/>
  <c r="MG32" i="24"/>
  <c r="MH32" i="24"/>
  <c r="MI32" i="24"/>
  <c r="MJ32" i="24"/>
  <c r="MK32" i="24"/>
  <c r="ML32" i="24"/>
  <c r="MM32" i="24"/>
  <c r="MN32" i="24"/>
  <c r="MO32" i="24"/>
  <c r="MP32" i="24"/>
  <c r="MQ32" i="24"/>
  <c r="MR32" i="24"/>
  <c r="MS32" i="24"/>
  <c r="MT32" i="24"/>
  <c r="MU32" i="24"/>
  <c r="MV32" i="24"/>
  <c r="MW32" i="24"/>
  <c r="LC36" i="24"/>
  <c r="LD36" i="24"/>
  <c r="LE36" i="24"/>
  <c r="LF36" i="24"/>
  <c r="LG36" i="24"/>
  <c r="LH36" i="24"/>
  <c r="LI36" i="24"/>
  <c r="LJ36" i="24"/>
  <c r="LK36" i="24"/>
  <c r="LL36" i="24"/>
  <c r="LM36" i="24"/>
  <c r="LN36" i="24"/>
  <c r="LO36" i="24"/>
  <c r="LP36" i="24"/>
  <c r="LQ36" i="24"/>
  <c r="LR36" i="24"/>
  <c r="LS36" i="24"/>
  <c r="LT36" i="24"/>
  <c r="LU36" i="24"/>
  <c r="LV36" i="24"/>
  <c r="LW36" i="24"/>
  <c r="LX36" i="24"/>
  <c r="LY36" i="24"/>
  <c r="LZ36" i="24"/>
  <c r="MA36" i="24"/>
  <c r="MB36" i="24"/>
  <c r="MC36" i="24"/>
  <c r="MD36" i="24"/>
  <c r="ME36" i="24"/>
  <c r="MF36" i="24"/>
  <c r="MG36" i="24"/>
  <c r="MH36" i="24"/>
  <c r="MI36" i="24"/>
  <c r="MJ36" i="24"/>
  <c r="MK36" i="24"/>
  <c r="ML36" i="24"/>
  <c r="MM36" i="24"/>
  <c r="MN36" i="24"/>
  <c r="MO36" i="24"/>
  <c r="MP36" i="24"/>
  <c r="MQ36" i="24"/>
  <c r="MR36" i="24"/>
  <c r="MS36" i="24"/>
  <c r="MT36" i="24"/>
  <c r="MU36" i="24"/>
  <c r="MV36" i="24"/>
  <c r="MW36" i="24"/>
  <c r="LC39" i="24"/>
  <c r="LD39" i="24"/>
  <c r="LE39" i="24"/>
  <c r="LF39" i="24"/>
  <c r="LG39" i="24"/>
  <c r="LH39" i="24"/>
  <c r="LI39" i="24"/>
  <c r="LJ39" i="24"/>
  <c r="LK39" i="24"/>
  <c r="LL39" i="24"/>
  <c r="LM39" i="24"/>
  <c r="LN39" i="24"/>
  <c r="LO39" i="24"/>
  <c r="LP39" i="24"/>
  <c r="LQ39" i="24"/>
  <c r="LR39" i="24"/>
  <c r="LS39" i="24"/>
  <c r="LT39" i="24"/>
  <c r="LU39" i="24"/>
  <c r="LV39" i="24"/>
  <c r="LW39" i="24"/>
  <c r="LX39" i="24"/>
  <c r="LY39" i="24"/>
  <c r="LZ39" i="24"/>
  <c r="MA39" i="24"/>
  <c r="MB39" i="24"/>
  <c r="MC39" i="24"/>
  <c r="MD39" i="24"/>
  <c r="ME39" i="24"/>
  <c r="MF39" i="24"/>
  <c r="MG39" i="24"/>
  <c r="MH39" i="24"/>
  <c r="MI39" i="24"/>
  <c r="MJ39" i="24"/>
  <c r="MK39" i="24"/>
  <c r="ML39" i="24"/>
  <c r="MM39" i="24"/>
  <c r="MN39" i="24"/>
  <c r="MO39" i="24"/>
  <c r="MP39" i="24"/>
  <c r="MQ39" i="24"/>
  <c r="MR39" i="24"/>
  <c r="MS39" i="24"/>
  <c r="MT39" i="24"/>
  <c r="MU39" i="24"/>
  <c r="MV39" i="24"/>
  <c r="MW39" i="24"/>
  <c r="LC42" i="24"/>
  <c r="LD42" i="24"/>
  <c r="LE42" i="24"/>
  <c r="LF42" i="24"/>
  <c r="LG42" i="24"/>
  <c r="LH42" i="24"/>
  <c r="LI42" i="24"/>
  <c r="LJ42" i="24"/>
  <c r="LK42" i="24"/>
  <c r="LL42" i="24"/>
  <c r="LM42" i="24"/>
  <c r="LN42" i="24"/>
  <c r="LO42" i="24"/>
  <c r="LP42" i="24"/>
  <c r="LQ42" i="24"/>
  <c r="LR42" i="24"/>
  <c r="LS42" i="24"/>
  <c r="LT42" i="24"/>
  <c r="LU42" i="24"/>
  <c r="LV42" i="24"/>
  <c r="LW42" i="24"/>
  <c r="LX42" i="24"/>
  <c r="LY42" i="24"/>
  <c r="LZ42" i="24"/>
  <c r="MA42" i="24"/>
  <c r="MB42" i="24"/>
  <c r="MC42" i="24"/>
  <c r="MD42" i="24"/>
  <c r="ME42" i="24"/>
  <c r="MF42" i="24"/>
  <c r="MG42" i="24"/>
  <c r="MH42" i="24"/>
  <c r="MI42" i="24"/>
  <c r="MJ42" i="24"/>
  <c r="MK42" i="24"/>
  <c r="ML42" i="24"/>
  <c r="MM42" i="24"/>
  <c r="MN42" i="24"/>
  <c r="MO42" i="24"/>
  <c r="MP42" i="24"/>
  <c r="MQ42" i="24"/>
  <c r="MR42" i="24"/>
  <c r="MS42" i="24"/>
  <c r="MT42" i="24"/>
  <c r="MU42" i="24"/>
  <c r="MV42" i="24"/>
  <c r="MW42" i="24"/>
  <c r="LC48" i="24"/>
  <c r="LD48" i="24"/>
  <c r="LE48" i="24"/>
  <c r="LF48" i="24"/>
  <c r="LG48" i="24"/>
  <c r="LH48" i="24"/>
  <c r="LI48" i="24"/>
  <c r="LJ48" i="24"/>
  <c r="LK48" i="24"/>
  <c r="LL48" i="24"/>
  <c r="LM48" i="24"/>
  <c r="LN48" i="24"/>
  <c r="LO48" i="24"/>
  <c r="LP48" i="24"/>
  <c r="LQ48" i="24"/>
  <c r="LR48" i="24"/>
  <c r="LS48" i="24"/>
  <c r="LT48" i="24"/>
  <c r="LU48" i="24"/>
  <c r="LV48" i="24"/>
  <c r="LW48" i="24"/>
  <c r="LX48" i="24"/>
  <c r="LY48" i="24"/>
  <c r="LZ48" i="24"/>
  <c r="MA48" i="24"/>
  <c r="MB48" i="24"/>
  <c r="MC48" i="24"/>
  <c r="MD48" i="24"/>
  <c r="ME48" i="24"/>
  <c r="MF48" i="24"/>
  <c r="MG48" i="24"/>
  <c r="MH48" i="24"/>
  <c r="MI48" i="24"/>
  <c r="MJ48" i="24"/>
  <c r="MK48" i="24"/>
  <c r="ML48" i="24"/>
  <c r="MM48" i="24"/>
  <c r="MN48" i="24"/>
  <c r="MO48" i="24"/>
  <c r="MP48" i="24"/>
  <c r="MQ48" i="24"/>
  <c r="MR48" i="24"/>
  <c r="MS48" i="24"/>
  <c r="MT48" i="24"/>
  <c r="MU48" i="24"/>
  <c r="MV48" i="24"/>
  <c r="MW48" i="24"/>
  <c r="LC52" i="24"/>
  <c r="LD52" i="24"/>
  <c r="LE52" i="24"/>
  <c r="LF52" i="24"/>
  <c r="LG52" i="24"/>
  <c r="LH52" i="24"/>
  <c r="LI52" i="24"/>
  <c r="LJ52" i="24"/>
  <c r="LK52" i="24"/>
  <c r="LL52" i="24"/>
  <c r="LM52" i="24"/>
  <c r="LN52" i="24"/>
  <c r="LO52" i="24"/>
  <c r="LP52" i="24"/>
  <c r="LQ52" i="24"/>
  <c r="LR52" i="24"/>
  <c r="LS52" i="24"/>
  <c r="LT52" i="24"/>
  <c r="LU52" i="24"/>
  <c r="LV52" i="24"/>
  <c r="LW52" i="24"/>
  <c r="LX52" i="24"/>
  <c r="LY52" i="24"/>
  <c r="LZ52" i="24"/>
  <c r="MA52" i="24"/>
  <c r="MB52" i="24"/>
  <c r="MC52" i="24"/>
  <c r="MD52" i="24"/>
  <c r="ME52" i="24"/>
  <c r="MF52" i="24"/>
  <c r="MG52" i="24"/>
  <c r="MH52" i="24"/>
  <c r="MI52" i="24"/>
  <c r="MJ52" i="24"/>
  <c r="MK52" i="24"/>
  <c r="ML52" i="24"/>
  <c r="MM52" i="24"/>
  <c r="MN52" i="24"/>
  <c r="MO52" i="24"/>
  <c r="MP52" i="24"/>
  <c r="MQ52" i="24"/>
  <c r="MR52" i="24"/>
  <c r="MS52" i="24"/>
  <c r="MT52" i="24"/>
  <c r="MU52" i="24"/>
  <c r="MV52" i="24"/>
  <c r="MW52" i="24"/>
  <c r="KN11" i="24"/>
  <c r="KO11" i="24"/>
  <c r="KP11" i="24"/>
  <c r="KQ11" i="24"/>
  <c r="KR11" i="24"/>
  <c r="KS11" i="24"/>
  <c r="KT11" i="24"/>
  <c r="KU11" i="24"/>
  <c r="KV11" i="24"/>
  <c r="KW11" i="24"/>
  <c r="KX11" i="24"/>
  <c r="KY11" i="24"/>
  <c r="KZ11" i="24"/>
  <c r="LA11" i="24"/>
  <c r="LB11" i="24"/>
  <c r="KN21" i="24"/>
  <c r="KO21" i="24"/>
  <c r="KP21" i="24"/>
  <c r="KQ21" i="24"/>
  <c r="KR21" i="24"/>
  <c r="KS21" i="24"/>
  <c r="KT21" i="24"/>
  <c r="KU21" i="24"/>
  <c r="KV21" i="24"/>
  <c r="KW21" i="24"/>
  <c r="KX21" i="24"/>
  <c r="KZ21" i="24"/>
  <c r="LA21" i="24"/>
  <c r="LB21" i="24"/>
  <c r="KN32" i="24"/>
  <c r="KO32" i="24"/>
  <c r="KP32" i="24"/>
  <c r="KQ32" i="24"/>
  <c r="KR32" i="24"/>
  <c r="KS32" i="24"/>
  <c r="KT32" i="24"/>
  <c r="KU32" i="24"/>
  <c r="KV32" i="24"/>
  <c r="KW32" i="24"/>
  <c r="KX32" i="24"/>
  <c r="KY32" i="24"/>
  <c r="KZ32" i="24"/>
  <c r="LA32" i="24"/>
  <c r="LB32" i="24"/>
  <c r="KN36" i="24"/>
  <c r="KO36" i="24"/>
  <c r="KP36" i="24"/>
  <c r="KQ36" i="24"/>
  <c r="KR36" i="24"/>
  <c r="KS36" i="24"/>
  <c r="KT36" i="24"/>
  <c r="KU36" i="24"/>
  <c r="KV36" i="24"/>
  <c r="KW36" i="24"/>
  <c r="KX36" i="24"/>
  <c r="KY36" i="24"/>
  <c r="KZ36" i="24"/>
  <c r="LA36" i="24"/>
  <c r="LB36" i="24"/>
  <c r="KN39" i="24"/>
  <c r="KO39" i="24"/>
  <c r="KP39" i="24"/>
  <c r="KQ39" i="24"/>
  <c r="KR39" i="24"/>
  <c r="KS39" i="24"/>
  <c r="KT39" i="24"/>
  <c r="KU39" i="24"/>
  <c r="KV39" i="24"/>
  <c r="KW39" i="24"/>
  <c r="KX39" i="24"/>
  <c r="KY39" i="24"/>
  <c r="KZ39" i="24"/>
  <c r="LA39" i="24"/>
  <c r="LB39" i="24"/>
  <c r="KN42" i="24"/>
  <c r="KO42" i="24"/>
  <c r="KP42" i="24"/>
  <c r="KQ42" i="24"/>
  <c r="KR42" i="24"/>
  <c r="KS42" i="24"/>
  <c r="KT42" i="24"/>
  <c r="KU42" i="24"/>
  <c r="KV42" i="24"/>
  <c r="KW42" i="24"/>
  <c r="KX42" i="24"/>
  <c r="KY42" i="24"/>
  <c r="KZ42" i="24"/>
  <c r="LA42" i="24"/>
  <c r="LB42" i="24"/>
  <c r="KN48" i="24"/>
  <c r="KO48" i="24"/>
  <c r="KP48" i="24"/>
  <c r="KQ48" i="24"/>
  <c r="KR48" i="24"/>
  <c r="KS48" i="24"/>
  <c r="KT48" i="24"/>
  <c r="KU48" i="24"/>
  <c r="KV48" i="24"/>
  <c r="KW48" i="24"/>
  <c r="KX48" i="24"/>
  <c r="KY48" i="24"/>
  <c r="KZ48" i="24"/>
  <c r="LA48" i="24"/>
  <c r="LB48" i="24"/>
  <c r="KN52" i="24"/>
  <c r="KO52" i="24"/>
  <c r="KP52" i="24"/>
  <c r="KQ52" i="24"/>
  <c r="KR52" i="24"/>
  <c r="KS52" i="24"/>
  <c r="KT52" i="24"/>
  <c r="KU52" i="24"/>
  <c r="KV52" i="24"/>
  <c r="KW52" i="24"/>
  <c r="KX52" i="24"/>
  <c r="KY52" i="24"/>
  <c r="KZ52" i="24"/>
  <c r="LA52" i="24"/>
  <c r="LB52" i="24"/>
  <c r="HV22" i="24"/>
  <c r="HV21" i="24" s="1"/>
  <c r="HN15" i="24"/>
  <c r="GP22" i="24"/>
  <c r="KM11" i="24"/>
  <c r="GH11" i="24"/>
  <c r="GI11" i="24"/>
  <c r="GJ11" i="24"/>
  <c r="GK11" i="24"/>
  <c r="GL11" i="24"/>
  <c r="GM11" i="24"/>
  <c r="GN11" i="24"/>
  <c r="GO11" i="24"/>
  <c r="GP11" i="24"/>
  <c r="GQ11" i="24"/>
  <c r="GR11" i="24"/>
  <c r="GS11" i="24"/>
  <c r="GT11" i="24"/>
  <c r="GU11" i="24"/>
  <c r="GV11" i="24"/>
  <c r="GW11" i="24"/>
  <c r="GX11" i="24"/>
  <c r="GY11" i="24"/>
  <c r="GZ11" i="24"/>
  <c r="HA11" i="24"/>
  <c r="HB11" i="24"/>
  <c r="HC11" i="24"/>
  <c r="HD11" i="24"/>
  <c r="HE11" i="24"/>
  <c r="HF11" i="24"/>
  <c r="HG11" i="24"/>
  <c r="HH11" i="24"/>
  <c r="HI11" i="24"/>
  <c r="HJ11" i="24"/>
  <c r="HK11" i="24"/>
  <c r="HL11" i="24"/>
  <c r="HM11" i="24"/>
  <c r="HN11" i="24"/>
  <c r="HO11" i="24"/>
  <c r="HP11" i="24"/>
  <c r="HQ11" i="24"/>
  <c r="HR11" i="24"/>
  <c r="HS11" i="24"/>
  <c r="HT11" i="24"/>
  <c r="HU11" i="24"/>
  <c r="HV11" i="24"/>
  <c r="HW11" i="24"/>
  <c r="HX11" i="24"/>
  <c r="HY11" i="24"/>
  <c r="HZ11" i="24"/>
  <c r="IA11" i="24"/>
  <c r="IC11" i="24"/>
  <c r="ID11" i="24"/>
  <c r="IE11" i="24"/>
  <c r="IF11" i="24"/>
  <c r="IG11" i="24"/>
  <c r="IH11" i="24"/>
  <c r="II11" i="24"/>
  <c r="IJ11" i="24"/>
  <c r="IK11" i="24"/>
  <c r="IL11" i="24"/>
  <c r="IM11" i="24"/>
  <c r="IN11" i="24"/>
  <c r="IO11" i="24"/>
  <c r="IP11" i="24"/>
  <c r="IQ11" i="24"/>
  <c r="IR11" i="24"/>
  <c r="IS11" i="24"/>
  <c r="IT11" i="24"/>
  <c r="IU11" i="24"/>
  <c r="IV11" i="24"/>
  <c r="IW11" i="24"/>
  <c r="IX11" i="24"/>
  <c r="IY11" i="24"/>
  <c r="IZ11" i="24"/>
  <c r="JA11" i="24"/>
  <c r="JB11" i="24"/>
  <c r="JC11" i="24"/>
  <c r="JD11" i="24"/>
  <c r="JE11" i="24"/>
  <c r="JF11" i="24"/>
  <c r="JG11" i="24"/>
  <c r="JH11" i="24"/>
  <c r="JI11" i="24"/>
  <c r="JJ11" i="24"/>
  <c r="JK11" i="24"/>
  <c r="JL11" i="24"/>
  <c r="JM11" i="24"/>
  <c r="JN11" i="24"/>
  <c r="JO11" i="24"/>
  <c r="JQ11" i="24"/>
  <c r="JS11" i="24"/>
  <c r="JT11" i="24"/>
  <c r="JU11" i="24"/>
  <c r="JV11" i="24"/>
  <c r="JW11" i="24"/>
  <c r="JX11" i="24"/>
  <c r="JY11" i="24"/>
  <c r="JZ11" i="24"/>
  <c r="KA11" i="24"/>
  <c r="KB11" i="24"/>
  <c r="KC11" i="24"/>
  <c r="KD11" i="24"/>
  <c r="KE11" i="24"/>
  <c r="KF11" i="24"/>
  <c r="KG11" i="24"/>
  <c r="KH11" i="24"/>
  <c r="KI11" i="24"/>
  <c r="KJ11" i="24"/>
  <c r="KK11" i="24"/>
  <c r="KL11" i="24"/>
  <c r="GI21" i="24"/>
  <c r="GJ21" i="24"/>
  <c r="GK21" i="24"/>
  <c r="GL21" i="24"/>
  <c r="GM21" i="24"/>
  <c r="GN21" i="24"/>
  <c r="GO21" i="24"/>
  <c r="GP21" i="24"/>
  <c r="GQ21" i="24"/>
  <c r="GR21" i="24"/>
  <c r="GT21" i="24"/>
  <c r="GU21" i="24"/>
  <c r="GW21" i="24"/>
  <c r="GX21" i="24"/>
  <c r="GY21" i="24"/>
  <c r="GZ21" i="24"/>
  <c r="HA21" i="24"/>
  <c r="HB21" i="24"/>
  <c r="HC21" i="24"/>
  <c r="HD21" i="24"/>
  <c r="HE21" i="24"/>
  <c r="HF21" i="24"/>
  <c r="HG21" i="24"/>
  <c r="HH21" i="24"/>
  <c r="HI21" i="24"/>
  <c r="HJ21" i="24"/>
  <c r="HK21" i="24"/>
  <c r="HL21" i="24"/>
  <c r="HM21" i="24"/>
  <c r="HN21" i="24"/>
  <c r="HO21" i="24"/>
  <c r="HP21" i="24"/>
  <c r="HQ21" i="24"/>
  <c r="HR21" i="24"/>
  <c r="HS21" i="24"/>
  <c r="HT21" i="24"/>
  <c r="HU21" i="24"/>
  <c r="HW21" i="24"/>
  <c r="HX21" i="24"/>
  <c r="HY21" i="24"/>
  <c r="HZ21" i="24"/>
  <c r="IA21" i="24"/>
  <c r="IB21" i="24"/>
  <c r="IC21" i="24"/>
  <c r="ID21" i="24"/>
  <c r="IE21" i="24"/>
  <c r="IF21" i="24"/>
  <c r="IG21" i="24"/>
  <c r="IH21" i="24"/>
  <c r="II21" i="24"/>
  <c r="IJ21" i="24"/>
  <c r="IK21" i="24"/>
  <c r="IL21" i="24"/>
  <c r="IM21" i="24"/>
  <c r="IN21" i="24"/>
  <c r="IP21" i="24"/>
  <c r="IQ21" i="24"/>
  <c r="IR21" i="24"/>
  <c r="IS21" i="24"/>
  <c r="IT21" i="24"/>
  <c r="IU21" i="24"/>
  <c r="IV21" i="24"/>
  <c r="IW21" i="24"/>
  <c r="IX21" i="24"/>
  <c r="IY21" i="24"/>
  <c r="IZ21" i="24"/>
  <c r="JA21" i="24"/>
  <c r="JB21" i="24"/>
  <c r="JC21" i="24"/>
  <c r="JD21" i="24"/>
  <c r="JE21" i="24"/>
  <c r="JF21" i="24"/>
  <c r="JG21" i="24"/>
  <c r="JH21" i="24"/>
  <c r="JI21" i="24"/>
  <c r="JJ21" i="24"/>
  <c r="JK21" i="24"/>
  <c r="JL21" i="24"/>
  <c r="JM21" i="24"/>
  <c r="JN21" i="24"/>
  <c r="JO21" i="24"/>
  <c r="JQ21" i="24"/>
  <c r="JS21" i="24"/>
  <c r="JU21" i="24"/>
  <c r="JV21" i="24"/>
  <c r="JW21" i="24"/>
  <c r="JX21" i="24"/>
  <c r="JY21" i="24"/>
  <c r="JZ21" i="24"/>
  <c r="KA21" i="24"/>
  <c r="KB21" i="24"/>
  <c r="KC21" i="24"/>
  <c r="KD21" i="24"/>
  <c r="KE21" i="24"/>
  <c r="KF21" i="24"/>
  <c r="KG21" i="24"/>
  <c r="KH21" i="24"/>
  <c r="KI21" i="24"/>
  <c r="KJ21" i="24"/>
  <c r="KK21" i="24"/>
  <c r="KL21" i="24"/>
  <c r="KM21" i="24"/>
  <c r="GH32" i="24"/>
  <c r="GI32" i="24"/>
  <c r="GJ32" i="24"/>
  <c r="GK32" i="24"/>
  <c r="GL32" i="24"/>
  <c r="GM32" i="24"/>
  <c r="GN32" i="24"/>
  <c r="GO32" i="24"/>
  <c r="GP32" i="24"/>
  <c r="GQ32" i="24"/>
  <c r="GR32" i="24"/>
  <c r="GS32" i="24"/>
  <c r="GT32" i="24"/>
  <c r="GU32" i="24"/>
  <c r="GV32" i="24"/>
  <c r="GW32" i="24"/>
  <c r="GX32" i="24"/>
  <c r="GY32" i="24"/>
  <c r="GZ32" i="24"/>
  <c r="HA32" i="24"/>
  <c r="HB32" i="24"/>
  <c r="HC32" i="24"/>
  <c r="HD32" i="24"/>
  <c r="HE32" i="24"/>
  <c r="HF32" i="24"/>
  <c r="HG32" i="24"/>
  <c r="HH32" i="24"/>
  <c r="HI32" i="24"/>
  <c r="HJ32" i="24"/>
  <c r="HK32" i="24"/>
  <c r="HL32" i="24"/>
  <c r="HM32" i="24"/>
  <c r="HN32" i="24"/>
  <c r="HO32" i="24"/>
  <c r="HP32" i="24"/>
  <c r="HQ32" i="24"/>
  <c r="HR32" i="24"/>
  <c r="HS32" i="24"/>
  <c r="HT32" i="24"/>
  <c r="HU32" i="24"/>
  <c r="HV32" i="24"/>
  <c r="HW32" i="24"/>
  <c r="HX32" i="24"/>
  <c r="HY32" i="24"/>
  <c r="HZ32" i="24"/>
  <c r="IA32" i="24"/>
  <c r="IB32" i="24"/>
  <c r="IC32" i="24"/>
  <c r="ID32" i="24"/>
  <c r="IE32" i="24"/>
  <c r="IF32" i="24"/>
  <c r="IG32" i="24"/>
  <c r="IH32" i="24"/>
  <c r="II32" i="24"/>
  <c r="IJ32" i="24"/>
  <c r="IK32" i="24"/>
  <c r="IL32" i="24"/>
  <c r="IM32" i="24"/>
  <c r="IN32" i="24"/>
  <c r="IO32" i="24"/>
  <c r="IP32" i="24"/>
  <c r="IQ32" i="24"/>
  <c r="IR32" i="24"/>
  <c r="IS32" i="24"/>
  <c r="IT32" i="24"/>
  <c r="IU32" i="24"/>
  <c r="IV32" i="24"/>
  <c r="IW32" i="24"/>
  <c r="IX32" i="24"/>
  <c r="IY32" i="24"/>
  <c r="IZ32" i="24"/>
  <c r="JA32" i="24"/>
  <c r="JB32" i="24"/>
  <c r="JC32" i="24"/>
  <c r="JD32" i="24"/>
  <c r="JE32" i="24"/>
  <c r="JF32" i="24"/>
  <c r="JG32" i="24"/>
  <c r="JH32" i="24"/>
  <c r="JI32" i="24"/>
  <c r="JJ32" i="24"/>
  <c r="JK32" i="24"/>
  <c r="JL32" i="24"/>
  <c r="JM32" i="24"/>
  <c r="JN32" i="24"/>
  <c r="JO32" i="24"/>
  <c r="JQ32" i="24"/>
  <c r="JS32" i="24"/>
  <c r="JT32" i="24"/>
  <c r="JU32" i="24"/>
  <c r="JV32" i="24"/>
  <c r="JW32" i="24"/>
  <c r="JX32" i="24"/>
  <c r="JY32" i="24"/>
  <c r="JZ32" i="24"/>
  <c r="KA32" i="24"/>
  <c r="KB32" i="24"/>
  <c r="KC32" i="24"/>
  <c r="KD32" i="24"/>
  <c r="KE32" i="24"/>
  <c r="KF32" i="24"/>
  <c r="KG32" i="24"/>
  <c r="KH32" i="24"/>
  <c r="KI32" i="24"/>
  <c r="KJ32" i="24"/>
  <c r="KK32" i="24"/>
  <c r="KL32" i="24"/>
  <c r="KM32" i="24"/>
  <c r="GH36" i="24"/>
  <c r="GI36" i="24"/>
  <c r="GJ36" i="24"/>
  <c r="GK36" i="24"/>
  <c r="GL36" i="24"/>
  <c r="GM36" i="24"/>
  <c r="GN36" i="24"/>
  <c r="GO36" i="24"/>
  <c r="GP36" i="24"/>
  <c r="GQ36" i="24"/>
  <c r="GR36" i="24"/>
  <c r="GS36" i="24"/>
  <c r="GT36" i="24"/>
  <c r="GU36" i="24"/>
  <c r="GV36" i="24"/>
  <c r="GW36" i="24"/>
  <c r="GX36" i="24"/>
  <c r="GY36" i="24"/>
  <c r="GZ36" i="24"/>
  <c r="HA36" i="24"/>
  <c r="HB36" i="24"/>
  <c r="HC36" i="24"/>
  <c r="HD36" i="24"/>
  <c r="HE36" i="24"/>
  <c r="HF36" i="24"/>
  <c r="HG36" i="24"/>
  <c r="HH36" i="24"/>
  <c r="HI36" i="24"/>
  <c r="HJ36" i="24"/>
  <c r="HK36" i="24"/>
  <c r="HL36" i="24"/>
  <c r="HM36" i="24"/>
  <c r="HN36" i="24"/>
  <c r="HO36" i="24"/>
  <c r="HP36" i="24"/>
  <c r="HQ36" i="24"/>
  <c r="HR36" i="24"/>
  <c r="HS36" i="24"/>
  <c r="HT36" i="24"/>
  <c r="HU36" i="24"/>
  <c r="HV36" i="24"/>
  <c r="HW36" i="24"/>
  <c r="HX36" i="24"/>
  <c r="HY36" i="24"/>
  <c r="HZ36" i="24"/>
  <c r="IA36" i="24"/>
  <c r="IB36" i="24"/>
  <c r="IC36" i="24"/>
  <c r="ID36" i="24"/>
  <c r="IE36" i="24"/>
  <c r="IF36" i="24"/>
  <c r="IG36" i="24"/>
  <c r="IH36" i="24"/>
  <c r="II36" i="24"/>
  <c r="IJ36" i="24"/>
  <c r="IK36" i="24"/>
  <c r="IL36" i="24"/>
  <c r="IM36" i="24"/>
  <c r="IN36" i="24"/>
  <c r="IO36" i="24"/>
  <c r="IP36" i="24"/>
  <c r="IQ36" i="24"/>
  <c r="IR36" i="24"/>
  <c r="IS36" i="24"/>
  <c r="IT36" i="24"/>
  <c r="IU36" i="24"/>
  <c r="IV36" i="24"/>
  <c r="IW36" i="24"/>
  <c r="IX36" i="24"/>
  <c r="IY36" i="24"/>
  <c r="IZ36" i="24"/>
  <c r="JA36" i="24"/>
  <c r="JB36" i="24"/>
  <c r="JC36" i="24"/>
  <c r="JD36" i="24"/>
  <c r="JE36" i="24"/>
  <c r="JF36" i="24"/>
  <c r="JG36" i="24"/>
  <c r="JH36" i="24"/>
  <c r="JI36" i="24"/>
  <c r="JJ36" i="24"/>
  <c r="JK36" i="24"/>
  <c r="JL36" i="24"/>
  <c r="JM36" i="24"/>
  <c r="JN36" i="24"/>
  <c r="JO36" i="24"/>
  <c r="JQ36" i="24"/>
  <c r="JS36" i="24"/>
  <c r="JT36" i="24"/>
  <c r="JU36" i="24"/>
  <c r="JV36" i="24"/>
  <c r="JW36" i="24"/>
  <c r="JX36" i="24"/>
  <c r="JY36" i="24"/>
  <c r="JZ36" i="24"/>
  <c r="KA36" i="24"/>
  <c r="KB36" i="24"/>
  <c r="KC36" i="24"/>
  <c r="KD36" i="24"/>
  <c r="KE36" i="24"/>
  <c r="KF36" i="24"/>
  <c r="KG36" i="24"/>
  <c r="KH36" i="24"/>
  <c r="KI36" i="24"/>
  <c r="KJ36" i="24"/>
  <c r="KK36" i="24"/>
  <c r="KL36" i="24"/>
  <c r="KM36" i="24"/>
  <c r="GH39" i="24"/>
  <c r="GI39" i="24"/>
  <c r="GJ39" i="24"/>
  <c r="GK39" i="24"/>
  <c r="GL39" i="24"/>
  <c r="GM39" i="24"/>
  <c r="GN39" i="24"/>
  <c r="GO39" i="24"/>
  <c r="GP39" i="24"/>
  <c r="GQ39" i="24"/>
  <c r="GR39" i="24"/>
  <c r="GS39" i="24"/>
  <c r="GT39" i="24"/>
  <c r="GU39" i="24"/>
  <c r="GV39" i="24"/>
  <c r="GW39" i="24"/>
  <c r="GX39" i="24"/>
  <c r="GY39" i="24"/>
  <c r="GZ39" i="24"/>
  <c r="HA39" i="24"/>
  <c r="HB39" i="24"/>
  <c r="HC39" i="24"/>
  <c r="HD39" i="24"/>
  <c r="HE39" i="24"/>
  <c r="HF39" i="24"/>
  <c r="HG39" i="24"/>
  <c r="HH39" i="24"/>
  <c r="HI39" i="24"/>
  <c r="HJ39" i="24"/>
  <c r="HK39" i="24"/>
  <c r="HL39" i="24"/>
  <c r="HM39" i="24"/>
  <c r="HN39" i="24"/>
  <c r="HO39" i="24"/>
  <c r="HP39" i="24"/>
  <c r="HQ39" i="24"/>
  <c r="HR39" i="24"/>
  <c r="HS39" i="24"/>
  <c r="HT39" i="24"/>
  <c r="HU39" i="24"/>
  <c r="HV39" i="24"/>
  <c r="HW39" i="24"/>
  <c r="HX39" i="24"/>
  <c r="HY39" i="24"/>
  <c r="HZ39" i="24"/>
  <c r="IA39" i="24"/>
  <c r="IB39" i="24"/>
  <c r="IC39" i="24"/>
  <c r="ID39" i="24"/>
  <c r="IE39" i="24"/>
  <c r="IF39" i="24"/>
  <c r="IG39" i="24"/>
  <c r="IH39" i="24"/>
  <c r="II39" i="24"/>
  <c r="IJ39" i="24"/>
  <c r="IK39" i="24"/>
  <c r="IL39" i="24"/>
  <c r="IM39" i="24"/>
  <c r="IN39" i="24"/>
  <c r="IO39" i="24"/>
  <c r="IP39" i="24"/>
  <c r="IQ39" i="24"/>
  <c r="IR39" i="24"/>
  <c r="IS39" i="24"/>
  <c r="IT39" i="24"/>
  <c r="IU39" i="24"/>
  <c r="IV39" i="24"/>
  <c r="IW39" i="24"/>
  <c r="IX39" i="24"/>
  <c r="IY39" i="24"/>
  <c r="IZ39" i="24"/>
  <c r="JA39" i="24"/>
  <c r="JB39" i="24"/>
  <c r="JC39" i="24"/>
  <c r="JD39" i="24"/>
  <c r="JE39" i="24"/>
  <c r="JF39" i="24"/>
  <c r="JG39" i="24"/>
  <c r="JH39" i="24"/>
  <c r="JI39" i="24"/>
  <c r="JJ39" i="24"/>
  <c r="JK39" i="24"/>
  <c r="JL39" i="24"/>
  <c r="JM39" i="24"/>
  <c r="JN39" i="24"/>
  <c r="JO39" i="24"/>
  <c r="JQ39" i="24"/>
  <c r="JS39" i="24"/>
  <c r="JT39" i="24"/>
  <c r="JU39" i="24"/>
  <c r="JV39" i="24"/>
  <c r="JW39" i="24"/>
  <c r="JX39" i="24"/>
  <c r="JY39" i="24"/>
  <c r="JZ39" i="24"/>
  <c r="KA39" i="24"/>
  <c r="KB39" i="24"/>
  <c r="KC39" i="24"/>
  <c r="KD39" i="24"/>
  <c r="KE39" i="24"/>
  <c r="KF39" i="24"/>
  <c r="KG39" i="24"/>
  <c r="KH39" i="24"/>
  <c r="KI39" i="24"/>
  <c r="KJ39" i="24"/>
  <c r="KK39" i="24"/>
  <c r="KL39" i="24"/>
  <c r="KM39" i="24"/>
  <c r="GH42" i="24"/>
  <c r="GI42" i="24"/>
  <c r="GJ42" i="24"/>
  <c r="GK42" i="24"/>
  <c r="GL42" i="24"/>
  <c r="GM42" i="24"/>
  <c r="GN42" i="24"/>
  <c r="GO42" i="24"/>
  <c r="GP42" i="24"/>
  <c r="GQ42" i="24"/>
  <c r="GR42" i="24"/>
  <c r="GS42" i="24"/>
  <c r="GT42" i="24"/>
  <c r="GU42" i="24"/>
  <c r="GV42" i="24"/>
  <c r="GW42" i="24"/>
  <c r="GX42" i="24"/>
  <c r="GY42" i="24"/>
  <c r="GZ42" i="24"/>
  <c r="HA42" i="24"/>
  <c r="HB42" i="24"/>
  <c r="HC42" i="24"/>
  <c r="HD42" i="24"/>
  <c r="HE42" i="24"/>
  <c r="HF42" i="24"/>
  <c r="HG42" i="24"/>
  <c r="HH42" i="24"/>
  <c r="HI42" i="24"/>
  <c r="HJ42" i="24"/>
  <c r="HK42" i="24"/>
  <c r="HL42" i="24"/>
  <c r="HM42" i="24"/>
  <c r="HN42" i="24"/>
  <c r="HO42" i="24"/>
  <c r="HP42" i="24"/>
  <c r="HQ42" i="24"/>
  <c r="HR42" i="24"/>
  <c r="HS42" i="24"/>
  <c r="HT42" i="24"/>
  <c r="HU42" i="24"/>
  <c r="HV42" i="24"/>
  <c r="HW42" i="24"/>
  <c r="HX42" i="24"/>
  <c r="HY42" i="24"/>
  <c r="HZ42" i="24"/>
  <c r="IA42" i="24"/>
  <c r="IB42" i="24"/>
  <c r="IC42" i="24"/>
  <c r="ID42" i="24"/>
  <c r="IE42" i="24"/>
  <c r="IF42" i="24"/>
  <c r="IG42" i="24"/>
  <c r="IH42" i="24"/>
  <c r="II42" i="24"/>
  <c r="IJ42" i="24"/>
  <c r="IK42" i="24"/>
  <c r="IL42" i="24"/>
  <c r="IM42" i="24"/>
  <c r="IN42" i="24"/>
  <c r="IO42" i="24"/>
  <c r="IP42" i="24"/>
  <c r="IQ42" i="24"/>
  <c r="IR42" i="24"/>
  <c r="IS42" i="24"/>
  <c r="IT42" i="24"/>
  <c r="IU42" i="24"/>
  <c r="IV42" i="24"/>
  <c r="IW42" i="24"/>
  <c r="IX42" i="24"/>
  <c r="IY42" i="24"/>
  <c r="IZ42" i="24"/>
  <c r="JA42" i="24"/>
  <c r="JB42" i="24"/>
  <c r="JC42" i="24"/>
  <c r="JD42" i="24"/>
  <c r="JE42" i="24"/>
  <c r="JF42" i="24"/>
  <c r="JG42" i="24"/>
  <c r="JH42" i="24"/>
  <c r="JI42" i="24"/>
  <c r="JJ42" i="24"/>
  <c r="JK42" i="24"/>
  <c r="JL42" i="24"/>
  <c r="JM42" i="24"/>
  <c r="JN42" i="24"/>
  <c r="JO42" i="24"/>
  <c r="JQ42" i="24"/>
  <c r="JS42" i="24"/>
  <c r="JT42" i="24"/>
  <c r="JU42" i="24"/>
  <c r="JV42" i="24"/>
  <c r="JW42" i="24"/>
  <c r="JX42" i="24"/>
  <c r="JY42" i="24"/>
  <c r="JZ42" i="24"/>
  <c r="KA42" i="24"/>
  <c r="KB42" i="24"/>
  <c r="KC42" i="24"/>
  <c r="KD42" i="24"/>
  <c r="KE42" i="24"/>
  <c r="KF42" i="24"/>
  <c r="KG42" i="24"/>
  <c r="KH42" i="24"/>
  <c r="KI42" i="24"/>
  <c r="KJ42" i="24"/>
  <c r="KK42" i="24"/>
  <c r="KL42" i="24"/>
  <c r="KM42" i="24"/>
  <c r="GH48" i="24"/>
  <c r="GI48" i="24"/>
  <c r="GJ48" i="24"/>
  <c r="GK48" i="24"/>
  <c r="GL48" i="24"/>
  <c r="GM48" i="24"/>
  <c r="GN48" i="24"/>
  <c r="GO48" i="24"/>
  <c r="GP48" i="24"/>
  <c r="GQ48" i="24"/>
  <c r="GR48" i="24"/>
  <c r="GS48" i="24"/>
  <c r="GT48" i="24"/>
  <c r="GU48" i="24"/>
  <c r="GV48" i="24"/>
  <c r="GW48" i="24"/>
  <c r="GX48" i="24"/>
  <c r="GY48" i="24"/>
  <c r="GZ48" i="24"/>
  <c r="HA48" i="24"/>
  <c r="HB48" i="24"/>
  <c r="HC48" i="24"/>
  <c r="HD48" i="24"/>
  <c r="HE48" i="24"/>
  <c r="HF48" i="24"/>
  <c r="HG48" i="24"/>
  <c r="HH48" i="24"/>
  <c r="HI48" i="24"/>
  <c r="HJ48" i="24"/>
  <c r="HK48" i="24"/>
  <c r="HL48" i="24"/>
  <c r="HM48" i="24"/>
  <c r="HN48" i="24"/>
  <c r="HO48" i="24"/>
  <c r="HP48" i="24"/>
  <c r="HQ48" i="24"/>
  <c r="HR48" i="24"/>
  <c r="HS48" i="24"/>
  <c r="HT48" i="24"/>
  <c r="HU48" i="24"/>
  <c r="HV48" i="24"/>
  <c r="HW48" i="24"/>
  <c r="HX48" i="24"/>
  <c r="HY48" i="24"/>
  <c r="HZ48" i="24"/>
  <c r="IA48" i="24"/>
  <c r="IB48" i="24"/>
  <c r="IC48" i="24"/>
  <c r="ID48" i="24"/>
  <c r="IE48" i="24"/>
  <c r="IF48" i="24"/>
  <c r="IG48" i="24"/>
  <c r="IH48" i="24"/>
  <c r="II48" i="24"/>
  <c r="IJ48" i="24"/>
  <c r="IK48" i="24"/>
  <c r="IL48" i="24"/>
  <c r="IM48" i="24"/>
  <c r="IN48" i="24"/>
  <c r="IO48" i="24"/>
  <c r="IP48" i="24"/>
  <c r="IQ48" i="24"/>
  <c r="IR48" i="24"/>
  <c r="IS48" i="24"/>
  <c r="IT48" i="24"/>
  <c r="IU48" i="24"/>
  <c r="IV48" i="24"/>
  <c r="IW48" i="24"/>
  <c r="IX48" i="24"/>
  <c r="IY48" i="24"/>
  <c r="IZ48" i="24"/>
  <c r="JA48" i="24"/>
  <c r="JB48" i="24"/>
  <c r="JC48" i="24"/>
  <c r="JD48" i="24"/>
  <c r="JE48" i="24"/>
  <c r="JF48" i="24"/>
  <c r="JG48" i="24"/>
  <c r="JH48" i="24"/>
  <c r="JI48" i="24"/>
  <c r="JJ48" i="24"/>
  <c r="JK48" i="24"/>
  <c r="JL48" i="24"/>
  <c r="JM48" i="24"/>
  <c r="JN48" i="24"/>
  <c r="JO48" i="24"/>
  <c r="JQ48" i="24"/>
  <c r="JS48" i="24"/>
  <c r="JT48" i="24"/>
  <c r="JU48" i="24"/>
  <c r="JV48" i="24"/>
  <c r="JW48" i="24"/>
  <c r="JX48" i="24"/>
  <c r="JY48" i="24"/>
  <c r="JZ48" i="24"/>
  <c r="KA48" i="24"/>
  <c r="KB48" i="24"/>
  <c r="KC48" i="24"/>
  <c r="KD48" i="24"/>
  <c r="KE48" i="24"/>
  <c r="KF48" i="24"/>
  <c r="KG48" i="24"/>
  <c r="KH48" i="24"/>
  <c r="KI48" i="24"/>
  <c r="KJ48" i="24"/>
  <c r="KK48" i="24"/>
  <c r="KL48" i="24"/>
  <c r="KM48" i="24"/>
  <c r="GH52" i="24"/>
  <c r="GI52" i="24"/>
  <c r="GJ52" i="24"/>
  <c r="GK52" i="24"/>
  <c r="GL52" i="24"/>
  <c r="GM52" i="24"/>
  <c r="GN52" i="24"/>
  <c r="GO52" i="24"/>
  <c r="GP52" i="24"/>
  <c r="GQ52" i="24"/>
  <c r="GR52" i="24"/>
  <c r="GS52" i="24"/>
  <c r="GT52" i="24"/>
  <c r="GU52" i="24"/>
  <c r="GV52" i="24"/>
  <c r="GW52" i="24"/>
  <c r="GX52" i="24"/>
  <c r="GY52" i="24"/>
  <c r="GZ52" i="24"/>
  <c r="HA52" i="24"/>
  <c r="HB52" i="24"/>
  <c r="HC52" i="24"/>
  <c r="HD52" i="24"/>
  <c r="HE52" i="24"/>
  <c r="HF52" i="24"/>
  <c r="HG52" i="24"/>
  <c r="HH52" i="24"/>
  <c r="HI52" i="24"/>
  <c r="HJ52" i="24"/>
  <c r="HK52" i="24"/>
  <c r="HL52" i="24"/>
  <c r="HM52" i="24"/>
  <c r="HN52" i="24"/>
  <c r="HO52" i="24"/>
  <c r="HP52" i="24"/>
  <c r="HQ52" i="24"/>
  <c r="HR52" i="24"/>
  <c r="HS52" i="24"/>
  <c r="HT52" i="24"/>
  <c r="HU52" i="24"/>
  <c r="HV52" i="24"/>
  <c r="HW52" i="24"/>
  <c r="HX52" i="24"/>
  <c r="HY52" i="24"/>
  <c r="HZ52" i="24"/>
  <c r="IA52" i="24"/>
  <c r="IB52" i="24"/>
  <c r="IC52" i="24"/>
  <c r="ID52" i="24"/>
  <c r="IE52" i="24"/>
  <c r="IF52" i="24"/>
  <c r="IG52" i="24"/>
  <c r="IH52" i="24"/>
  <c r="II52" i="24"/>
  <c r="IJ52" i="24"/>
  <c r="IK52" i="24"/>
  <c r="IL52" i="24"/>
  <c r="IM52" i="24"/>
  <c r="IN52" i="24"/>
  <c r="IO52" i="24"/>
  <c r="IP52" i="24"/>
  <c r="IQ52" i="24"/>
  <c r="IR52" i="24"/>
  <c r="IS52" i="24"/>
  <c r="IT52" i="24"/>
  <c r="IU52" i="24"/>
  <c r="IV52" i="24"/>
  <c r="IW52" i="24"/>
  <c r="IX52" i="24"/>
  <c r="IY52" i="24"/>
  <c r="IZ52" i="24"/>
  <c r="JA52" i="24"/>
  <c r="JB52" i="24"/>
  <c r="JC52" i="24"/>
  <c r="JD52" i="24"/>
  <c r="JE52" i="24"/>
  <c r="JF52" i="24"/>
  <c r="JG52" i="24"/>
  <c r="JH52" i="24"/>
  <c r="JI52" i="24"/>
  <c r="JJ52" i="24"/>
  <c r="JK52" i="24"/>
  <c r="JL52" i="24"/>
  <c r="JM52" i="24"/>
  <c r="JN52" i="24"/>
  <c r="JO52" i="24"/>
  <c r="JQ52" i="24"/>
  <c r="JS52" i="24"/>
  <c r="JT52" i="24"/>
  <c r="JU52" i="24"/>
  <c r="JV52" i="24"/>
  <c r="JW52" i="24"/>
  <c r="JX52" i="24"/>
  <c r="JY52" i="24"/>
  <c r="JZ52" i="24"/>
  <c r="KA52" i="24"/>
  <c r="KB52" i="24"/>
  <c r="KC52" i="24"/>
  <c r="KD52" i="24"/>
  <c r="KE52" i="24"/>
  <c r="KF52" i="24"/>
  <c r="KG52" i="24"/>
  <c r="KH52" i="24"/>
  <c r="KI52" i="24"/>
  <c r="KJ52" i="24"/>
  <c r="KK52" i="24"/>
  <c r="KL52" i="24"/>
  <c r="KM52" i="24"/>
  <c r="GG52" i="24"/>
  <c r="GF52" i="24"/>
  <c r="GE52" i="24"/>
  <c r="GG48" i="24"/>
  <c r="GF48" i="24"/>
  <c r="GE48" i="24"/>
  <c r="GG42" i="24"/>
  <c r="GF42" i="24"/>
  <c r="GE42" i="24"/>
  <c r="GG39" i="24"/>
  <c r="GF39" i="24"/>
  <c r="GE39" i="24"/>
  <c r="GG36" i="24"/>
  <c r="GF36" i="24"/>
  <c r="GE36" i="24"/>
  <c r="GG32" i="24"/>
  <c r="GF32" i="24"/>
  <c r="GE32" i="24"/>
  <c r="GG21" i="24"/>
  <c r="GF21" i="24"/>
  <c r="GE21" i="24"/>
  <c r="GG11" i="24"/>
  <c r="GF11" i="24"/>
  <c r="GE11" i="24"/>
  <c r="GD18" i="24"/>
  <c r="FT18" i="24"/>
  <c r="FT22" i="24"/>
  <c r="FS22" i="24"/>
  <c r="FR22" i="24"/>
  <c r="FQ18" i="24"/>
  <c r="FP18" i="24"/>
  <c r="FM15" i="24"/>
  <c r="FB22" i="24"/>
  <c r="FA27" i="24"/>
  <c r="FA18" i="24"/>
  <c r="FA22" i="24"/>
  <c r="FA21" i="24" s="1"/>
  <c r="GV21" i="24" l="1"/>
  <c r="EY22" i="24"/>
  <c r="EU18" i="24"/>
  <c r="ES22" i="24"/>
  <c r="ER22" i="24" l="1"/>
  <c r="EQ22" i="24"/>
  <c r="EQ21" i="24" s="1"/>
  <c r="EP22" i="24"/>
  <c r="EP21" i="24" s="1"/>
  <c r="EN22" i="24"/>
  <c r="EN21" i="24" s="1"/>
  <c r="EM22" i="24"/>
  <c r="DZ22" i="24"/>
  <c r="DZ18" i="24"/>
  <c r="DX22" i="24"/>
  <c r="DM22" i="24"/>
  <c r="DI22" i="24"/>
  <c r="DI21" i="24" s="1"/>
  <c r="CW18" i="24"/>
  <c r="CV22" i="24"/>
  <c r="CP18" i="24"/>
  <c r="CP22" i="24"/>
  <c r="CM18" i="24"/>
  <c r="CM11" i="24" s="1"/>
  <c r="CM15" i="24"/>
  <c r="CM26" i="24"/>
  <c r="CM22" i="24"/>
  <c r="CM21" i="24" s="1"/>
  <c r="CJ26" i="24"/>
  <c r="CJ21" i="24" s="1"/>
  <c r="CJ18" i="24"/>
  <c r="CJ11" i="24" s="1"/>
  <c r="CJ27" i="24"/>
  <c r="CJ22" i="24"/>
  <c r="BJ22" i="24"/>
  <c r="BJ21" i="24" s="1"/>
  <c r="BH22" i="24"/>
  <c r="BG15" i="24"/>
  <c r="BC18" i="24"/>
  <c r="BC22" i="24"/>
  <c r="AZ22" i="24"/>
  <c r="AT18" i="24"/>
  <c r="AT22" i="24"/>
  <c r="AS18" i="24"/>
  <c r="AR15" i="24"/>
  <c r="AR11" i="24" s="1"/>
  <c r="AR18" i="24"/>
  <c r="AE18" i="24"/>
  <c r="AD22" i="24"/>
  <c r="AD21" i="24" s="1"/>
  <c r="AB18" i="24"/>
  <c r="AB11" i="24" s="1"/>
  <c r="Y18" i="24"/>
  <c r="X12" i="24"/>
  <c r="V18" i="24"/>
  <c r="V15" i="24"/>
  <c r="S22" i="24"/>
  <c r="P22" i="24"/>
  <c r="O22" i="24"/>
  <c r="O18" i="24"/>
  <c r="L22" i="24"/>
  <c r="L18" i="24"/>
  <c r="L11" i="24" s="1"/>
  <c r="J26" i="24"/>
  <c r="GD52" i="24"/>
  <c r="GC52" i="24"/>
  <c r="GB52" i="24"/>
  <c r="GA52" i="24"/>
  <c r="FZ52" i="24"/>
  <c r="FY52" i="24"/>
  <c r="FX52" i="24"/>
  <c r="FW52" i="24"/>
  <c r="FV52" i="24"/>
  <c r="FU52" i="24"/>
  <c r="FT52" i="24"/>
  <c r="FS52" i="24"/>
  <c r="FR52" i="24"/>
  <c r="FQ52" i="24"/>
  <c r="FP52" i="24"/>
  <c r="FO52" i="24"/>
  <c r="FN52" i="24"/>
  <c r="FM52" i="24"/>
  <c r="FL52" i="24"/>
  <c r="FK52" i="24"/>
  <c r="FJ52" i="24"/>
  <c r="FI52" i="24"/>
  <c r="FH52" i="24"/>
  <c r="FG52" i="24"/>
  <c r="FF52" i="24"/>
  <c r="FE52" i="24"/>
  <c r="FD52" i="24"/>
  <c r="FC52" i="24"/>
  <c r="FB52" i="24"/>
  <c r="FA52" i="24"/>
  <c r="EZ52" i="24"/>
  <c r="EY52" i="24"/>
  <c r="EX52" i="24"/>
  <c r="EW52" i="24"/>
  <c r="EV52" i="24"/>
  <c r="EU52" i="24"/>
  <c r="ET52" i="24"/>
  <c r="ES52" i="24"/>
  <c r="ER52" i="24"/>
  <c r="EQ52" i="24"/>
  <c r="EP52" i="24"/>
  <c r="EO52" i="24"/>
  <c r="EN52" i="24"/>
  <c r="EM52" i="24"/>
  <c r="EL52" i="24"/>
  <c r="EK52" i="24"/>
  <c r="EJ52" i="24"/>
  <c r="EI52" i="24"/>
  <c r="EH52" i="24"/>
  <c r="EG52" i="24"/>
  <c r="EF52" i="24"/>
  <c r="EE52" i="24"/>
  <c r="ED52" i="24"/>
  <c r="EC52" i="24"/>
  <c r="EB52" i="24"/>
  <c r="EA52" i="24"/>
  <c r="DZ52" i="24"/>
  <c r="DY52" i="24"/>
  <c r="DX52" i="24"/>
  <c r="DW52" i="24"/>
  <c r="DV52" i="24"/>
  <c r="DU52" i="24"/>
  <c r="DT52" i="24"/>
  <c r="DS52" i="24"/>
  <c r="DR52" i="24"/>
  <c r="DQ52" i="24"/>
  <c r="DP52" i="24"/>
  <c r="DO52" i="24"/>
  <c r="DN52" i="24"/>
  <c r="DM52" i="24"/>
  <c r="DL52" i="24"/>
  <c r="DK52" i="24"/>
  <c r="DJ52" i="24"/>
  <c r="DI52" i="24"/>
  <c r="DH52" i="24"/>
  <c r="DG52" i="24"/>
  <c r="DF52" i="24"/>
  <c r="DE52" i="24"/>
  <c r="DD52" i="24"/>
  <c r="DC52" i="24"/>
  <c r="DB52" i="24"/>
  <c r="DA52" i="24"/>
  <c r="CZ52" i="24"/>
  <c r="CY52" i="24"/>
  <c r="CX52" i="24"/>
  <c r="CW52" i="24"/>
  <c r="CV52" i="24"/>
  <c r="CU52" i="24"/>
  <c r="CT52" i="24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GD48" i="24"/>
  <c r="GC48" i="24"/>
  <c r="GB48" i="24"/>
  <c r="GA48" i="24"/>
  <c r="FZ48" i="24"/>
  <c r="FY48" i="24"/>
  <c r="FX48" i="24"/>
  <c r="FW48" i="24"/>
  <c r="FV48" i="24"/>
  <c r="FU48" i="24"/>
  <c r="FT48" i="24"/>
  <c r="FS48" i="24"/>
  <c r="FR48" i="24"/>
  <c r="FQ48" i="24"/>
  <c r="FP48" i="24"/>
  <c r="FO48" i="24"/>
  <c r="FN48" i="24"/>
  <c r="FM48" i="24"/>
  <c r="FL48" i="24"/>
  <c r="FK48" i="24"/>
  <c r="FJ48" i="24"/>
  <c r="FI48" i="24"/>
  <c r="FH48" i="24"/>
  <c r="FG48" i="24"/>
  <c r="FF48" i="24"/>
  <c r="FE48" i="24"/>
  <c r="FD48" i="24"/>
  <c r="FC48" i="24"/>
  <c r="FB48" i="24"/>
  <c r="FA48" i="24"/>
  <c r="EZ48" i="24"/>
  <c r="EY48" i="24"/>
  <c r="EX48" i="24"/>
  <c r="EW48" i="24"/>
  <c r="EV48" i="24"/>
  <c r="EU48" i="24"/>
  <c r="ET48" i="24"/>
  <c r="ES48" i="24"/>
  <c r="ER48" i="24"/>
  <c r="EQ48" i="24"/>
  <c r="EP48" i="24"/>
  <c r="EO48" i="24"/>
  <c r="EN48" i="24"/>
  <c r="EM48" i="24"/>
  <c r="EL48" i="24"/>
  <c r="EK48" i="24"/>
  <c r="EJ48" i="24"/>
  <c r="EI48" i="24"/>
  <c r="EH48" i="24"/>
  <c r="EG48" i="24"/>
  <c r="EF48" i="24"/>
  <c r="EE48" i="24"/>
  <c r="ED48" i="24"/>
  <c r="EC48" i="24"/>
  <c r="EB48" i="24"/>
  <c r="EA48" i="24"/>
  <c r="DZ48" i="24"/>
  <c r="DY48" i="24"/>
  <c r="DX48" i="24"/>
  <c r="DW48" i="24"/>
  <c r="DV48" i="24"/>
  <c r="DU48" i="24"/>
  <c r="DT48" i="24"/>
  <c r="DS48" i="24"/>
  <c r="DR48" i="24"/>
  <c r="DQ48" i="24"/>
  <c r="DP48" i="24"/>
  <c r="DO48" i="24"/>
  <c r="DN48" i="24"/>
  <c r="DM48" i="24"/>
  <c r="DL48" i="24"/>
  <c r="DK48" i="24"/>
  <c r="DJ48" i="24"/>
  <c r="DI48" i="24"/>
  <c r="DH48" i="24"/>
  <c r="DG48" i="24"/>
  <c r="DF48" i="24"/>
  <c r="DE48" i="24"/>
  <c r="DD48" i="24"/>
  <c r="DC48" i="24"/>
  <c r="DB48" i="24"/>
  <c r="DA48" i="24"/>
  <c r="CZ48" i="24"/>
  <c r="CY48" i="24"/>
  <c r="CX48" i="24"/>
  <c r="CW48" i="24"/>
  <c r="CV48" i="24"/>
  <c r="CU48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GD42" i="24"/>
  <c r="GC42" i="24"/>
  <c r="GB42" i="24"/>
  <c r="GA42" i="24"/>
  <c r="FZ42" i="24"/>
  <c r="FY42" i="24"/>
  <c r="FX42" i="24"/>
  <c r="FW42" i="24"/>
  <c r="FV42" i="24"/>
  <c r="FU42" i="24"/>
  <c r="FT42" i="24"/>
  <c r="FS42" i="24"/>
  <c r="FR42" i="24"/>
  <c r="FQ42" i="24"/>
  <c r="FP42" i="24"/>
  <c r="FO42" i="24"/>
  <c r="FN42" i="24"/>
  <c r="FM42" i="24"/>
  <c r="FL42" i="24"/>
  <c r="FK42" i="24"/>
  <c r="FJ42" i="24"/>
  <c r="FI42" i="24"/>
  <c r="FH42" i="24"/>
  <c r="FG42" i="24"/>
  <c r="FF42" i="24"/>
  <c r="FE42" i="24"/>
  <c r="FD42" i="24"/>
  <c r="FC42" i="24"/>
  <c r="FB42" i="24"/>
  <c r="FA42" i="24"/>
  <c r="EZ42" i="24"/>
  <c r="EY42" i="24"/>
  <c r="EX42" i="24"/>
  <c r="EW42" i="24"/>
  <c r="EV42" i="24"/>
  <c r="EU42" i="24"/>
  <c r="ET42" i="24"/>
  <c r="ES42" i="24"/>
  <c r="ER42" i="24"/>
  <c r="EQ42" i="24"/>
  <c r="EP42" i="24"/>
  <c r="EO42" i="24"/>
  <c r="EN42" i="24"/>
  <c r="EM42" i="24"/>
  <c r="EL42" i="24"/>
  <c r="EK42" i="24"/>
  <c r="EJ42" i="24"/>
  <c r="EI42" i="24"/>
  <c r="EH42" i="24"/>
  <c r="EG42" i="24"/>
  <c r="EF42" i="24"/>
  <c r="EE42" i="24"/>
  <c r="ED42" i="24"/>
  <c r="EC42" i="24"/>
  <c r="EB42" i="24"/>
  <c r="EA42" i="24"/>
  <c r="DZ42" i="24"/>
  <c r="DY42" i="24"/>
  <c r="DX42" i="24"/>
  <c r="DW42" i="24"/>
  <c r="DV42" i="24"/>
  <c r="DU42" i="24"/>
  <c r="DT42" i="24"/>
  <c r="DS42" i="24"/>
  <c r="DR42" i="24"/>
  <c r="DQ42" i="24"/>
  <c r="DP42" i="24"/>
  <c r="DO42" i="24"/>
  <c r="DN42" i="24"/>
  <c r="DM42" i="24"/>
  <c r="DL42" i="24"/>
  <c r="DK42" i="24"/>
  <c r="DJ42" i="24"/>
  <c r="DI42" i="24"/>
  <c r="DH42" i="24"/>
  <c r="DG42" i="24"/>
  <c r="DF42" i="24"/>
  <c r="DE42" i="24"/>
  <c r="DD42" i="24"/>
  <c r="DC42" i="24"/>
  <c r="DB42" i="24"/>
  <c r="DA42" i="24"/>
  <c r="CZ42" i="24"/>
  <c r="CY42" i="24"/>
  <c r="CX42" i="24"/>
  <c r="CW42" i="24"/>
  <c r="CV42" i="24"/>
  <c r="CU42" i="24"/>
  <c r="CT42" i="24"/>
  <c r="CS42" i="24"/>
  <c r="CR42" i="24"/>
  <c r="CQ42" i="24"/>
  <c r="CP42" i="24"/>
  <c r="CO42" i="24"/>
  <c r="CN42" i="24"/>
  <c r="CM42" i="24"/>
  <c r="CL42" i="24"/>
  <c r="CK42" i="24"/>
  <c r="CJ42" i="24"/>
  <c r="CI42" i="24"/>
  <c r="CH42" i="24"/>
  <c r="CG42" i="24"/>
  <c r="CF42" i="24"/>
  <c r="CE42" i="24"/>
  <c r="CD42" i="24"/>
  <c r="CC42" i="24"/>
  <c r="CB42" i="24"/>
  <c r="CA42" i="24"/>
  <c r="BZ42" i="24"/>
  <c r="BY42" i="24"/>
  <c r="BX42" i="24"/>
  <c r="BW42" i="24"/>
  <c r="BV42" i="24"/>
  <c r="BU42" i="24"/>
  <c r="BT42" i="24"/>
  <c r="BS42" i="24"/>
  <c r="BR42" i="24"/>
  <c r="BQ42" i="24"/>
  <c r="BP42" i="24"/>
  <c r="BO42" i="24"/>
  <c r="BN42" i="24"/>
  <c r="BM42" i="24"/>
  <c r="BL42" i="24"/>
  <c r="BK42" i="24"/>
  <c r="BJ42" i="24"/>
  <c r="BI42" i="24"/>
  <c r="BH42" i="24"/>
  <c r="BG42" i="24"/>
  <c r="BF42" i="24"/>
  <c r="BE42" i="24"/>
  <c r="BD42" i="24"/>
  <c r="BC42" i="24"/>
  <c r="BB42" i="24"/>
  <c r="BA42" i="24"/>
  <c r="AZ42" i="24"/>
  <c r="AY42" i="24"/>
  <c r="AX42" i="24"/>
  <c r="AW42" i="24"/>
  <c r="AV42" i="24"/>
  <c r="AU42" i="24"/>
  <c r="AT42" i="24"/>
  <c r="AS42" i="24"/>
  <c r="AR42" i="24"/>
  <c r="AQ42" i="24"/>
  <c r="AP42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GD39" i="24"/>
  <c r="GC39" i="24"/>
  <c r="GB39" i="24"/>
  <c r="GA39" i="24"/>
  <c r="FZ39" i="24"/>
  <c r="FY39" i="24"/>
  <c r="FX39" i="24"/>
  <c r="FW39" i="24"/>
  <c r="FV39" i="24"/>
  <c r="FU39" i="24"/>
  <c r="FT39" i="24"/>
  <c r="FS39" i="24"/>
  <c r="FR39" i="24"/>
  <c r="FQ39" i="24"/>
  <c r="FP39" i="24"/>
  <c r="FO39" i="24"/>
  <c r="FN39" i="24"/>
  <c r="FM39" i="24"/>
  <c r="FL39" i="24"/>
  <c r="FK39" i="24"/>
  <c r="FJ39" i="24"/>
  <c r="FI39" i="24"/>
  <c r="FH39" i="24"/>
  <c r="FG39" i="24"/>
  <c r="FF39" i="24"/>
  <c r="FE39" i="24"/>
  <c r="FD39" i="24"/>
  <c r="FC39" i="24"/>
  <c r="FB39" i="24"/>
  <c r="FA39" i="24"/>
  <c r="EZ39" i="24"/>
  <c r="EY39" i="24"/>
  <c r="EX39" i="24"/>
  <c r="EW39" i="24"/>
  <c r="EV39" i="24"/>
  <c r="EU39" i="24"/>
  <c r="ET39" i="24"/>
  <c r="ES39" i="24"/>
  <c r="ER39" i="24"/>
  <c r="EQ39" i="24"/>
  <c r="EP39" i="24"/>
  <c r="EO39" i="24"/>
  <c r="EN39" i="24"/>
  <c r="EM39" i="24"/>
  <c r="EL39" i="24"/>
  <c r="EK39" i="24"/>
  <c r="EJ39" i="24"/>
  <c r="EI39" i="24"/>
  <c r="EH39" i="24"/>
  <c r="EG39" i="24"/>
  <c r="EF39" i="24"/>
  <c r="EE39" i="24"/>
  <c r="ED39" i="24"/>
  <c r="EC39" i="24"/>
  <c r="EB39" i="24"/>
  <c r="EA39" i="24"/>
  <c r="DZ39" i="24"/>
  <c r="DY39" i="24"/>
  <c r="DX39" i="24"/>
  <c r="DW39" i="24"/>
  <c r="DV39" i="24"/>
  <c r="DU39" i="24"/>
  <c r="DT39" i="24"/>
  <c r="DS39" i="24"/>
  <c r="DR39" i="24"/>
  <c r="DQ39" i="24"/>
  <c r="DP39" i="24"/>
  <c r="DO39" i="24"/>
  <c r="DN39" i="24"/>
  <c r="DM39" i="24"/>
  <c r="DL39" i="24"/>
  <c r="DK39" i="24"/>
  <c r="DJ39" i="24"/>
  <c r="DI39" i="24"/>
  <c r="DH39" i="24"/>
  <c r="DG39" i="24"/>
  <c r="DF39" i="24"/>
  <c r="DE39" i="24"/>
  <c r="DD39" i="24"/>
  <c r="DC39" i="24"/>
  <c r="DB39" i="24"/>
  <c r="DA39" i="24"/>
  <c r="CZ39" i="24"/>
  <c r="CY39" i="24"/>
  <c r="CX39" i="24"/>
  <c r="CW39" i="24"/>
  <c r="CV39" i="24"/>
  <c r="CU39" i="24"/>
  <c r="CT39" i="24"/>
  <c r="CS39" i="24"/>
  <c r="CR39" i="24"/>
  <c r="CQ39" i="24"/>
  <c r="CP39" i="24"/>
  <c r="CO39" i="24"/>
  <c r="CN39" i="24"/>
  <c r="CM39" i="24"/>
  <c r="CL39" i="24"/>
  <c r="CK39" i="24"/>
  <c r="CJ39" i="24"/>
  <c r="CI39" i="24"/>
  <c r="CH39" i="24"/>
  <c r="CG39" i="24"/>
  <c r="CF39" i="24"/>
  <c r="CE39" i="24"/>
  <c r="CD39" i="24"/>
  <c r="CC39" i="24"/>
  <c r="CB39" i="24"/>
  <c r="CA39" i="24"/>
  <c r="BZ39" i="24"/>
  <c r="BY39" i="24"/>
  <c r="BX39" i="24"/>
  <c r="BW39" i="24"/>
  <c r="BV39" i="24"/>
  <c r="BU39" i="24"/>
  <c r="BT39" i="24"/>
  <c r="BS39" i="24"/>
  <c r="BR39" i="24"/>
  <c r="BQ39" i="24"/>
  <c r="BP39" i="24"/>
  <c r="BO39" i="24"/>
  <c r="BN39" i="24"/>
  <c r="BM39" i="24"/>
  <c r="BL39" i="24"/>
  <c r="BK39" i="24"/>
  <c r="BJ39" i="24"/>
  <c r="BI39" i="24"/>
  <c r="BH39" i="24"/>
  <c r="BG39" i="24"/>
  <c r="BF39" i="24"/>
  <c r="BE39" i="24"/>
  <c r="BD39" i="24"/>
  <c r="BC39" i="24"/>
  <c r="BB39" i="24"/>
  <c r="BA39" i="24"/>
  <c r="AZ39" i="24"/>
  <c r="AY39" i="24"/>
  <c r="AX39" i="24"/>
  <c r="AW39" i="24"/>
  <c r="AV39" i="24"/>
  <c r="AU39" i="24"/>
  <c r="AT39" i="24"/>
  <c r="AS39" i="24"/>
  <c r="AR39" i="24"/>
  <c r="AQ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GD36" i="24"/>
  <c r="GC36" i="24"/>
  <c r="GB36" i="24"/>
  <c r="GA36" i="24"/>
  <c r="FZ36" i="24"/>
  <c r="FY36" i="24"/>
  <c r="FX36" i="24"/>
  <c r="FW36" i="24"/>
  <c r="FV36" i="24"/>
  <c r="FU36" i="24"/>
  <c r="FT36" i="24"/>
  <c r="FS36" i="24"/>
  <c r="FR36" i="24"/>
  <c r="FQ36" i="24"/>
  <c r="FP36" i="24"/>
  <c r="FO36" i="24"/>
  <c r="FN36" i="24"/>
  <c r="FM36" i="24"/>
  <c r="FL36" i="24"/>
  <c r="FK36" i="24"/>
  <c r="FJ36" i="24"/>
  <c r="FI36" i="24"/>
  <c r="FH36" i="24"/>
  <c r="FG36" i="24"/>
  <c r="FF36" i="24"/>
  <c r="FE36" i="24"/>
  <c r="FD36" i="24"/>
  <c r="FC36" i="24"/>
  <c r="FB36" i="24"/>
  <c r="FA36" i="24"/>
  <c r="EZ36" i="24"/>
  <c r="EY36" i="24"/>
  <c r="EX36" i="24"/>
  <c r="EW36" i="24"/>
  <c r="EV36" i="24"/>
  <c r="EU36" i="24"/>
  <c r="ET36" i="24"/>
  <c r="ES36" i="24"/>
  <c r="ER36" i="24"/>
  <c r="EQ36" i="24"/>
  <c r="EP36" i="24"/>
  <c r="EO36" i="24"/>
  <c r="EN36" i="24"/>
  <c r="EM36" i="24"/>
  <c r="EL36" i="24"/>
  <c r="EK36" i="24"/>
  <c r="EJ36" i="24"/>
  <c r="EI36" i="24"/>
  <c r="EH36" i="24"/>
  <c r="EG36" i="24"/>
  <c r="EF36" i="24"/>
  <c r="EE36" i="24"/>
  <c r="ED36" i="24"/>
  <c r="EC36" i="24"/>
  <c r="EB36" i="24"/>
  <c r="EA36" i="24"/>
  <c r="DZ36" i="24"/>
  <c r="DY36" i="24"/>
  <c r="DX36" i="24"/>
  <c r="DW36" i="24"/>
  <c r="DV36" i="24"/>
  <c r="DU36" i="24"/>
  <c r="DT36" i="24"/>
  <c r="DS36" i="24"/>
  <c r="DR36" i="24"/>
  <c r="DQ36" i="24"/>
  <c r="DP36" i="24"/>
  <c r="DO36" i="24"/>
  <c r="DN36" i="24"/>
  <c r="DM36" i="24"/>
  <c r="DL36" i="24"/>
  <c r="DK36" i="24"/>
  <c r="DJ36" i="24"/>
  <c r="DI36" i="24"/>
  <c r="DH36" i="24"/>
  <c r="DG36" i="24"/>
  <c r="DF36" i="24"/>
  <c r="DE36" i="24"/>
  <c r="DD36" i="24"/>
  <c r="DC36" i="24"/>
  <c r="DB36" i="24"/>
  <c r="DA36" i="24"/>
  <c r="CZ36" i="24"/>
  <c r="CY36" i="24"/>
  <c r="CX36" i="24"/>
  <c r="CW36" i="24"/>
  <c r="CV36" i="24"/>
  <c r="CU36" i="24"/>
  <c r="CT36" i="24"/>
  <c r="CS36" i="24"/>
  <c r="CR36" i="24"/>
  <c r="CQ36" i="24"/>
  <c r="CP36" i="24"/>
  <c r="CO36" i="24"/>
  <c r="CN36" i="24"/>
  <c r="CM36" i="24"/>
  <c r="CL36" i="24"/>
  <c r="CK36" i="24"/>
  <c r="CJ36" i="24"/>
  <c r="CI36" i="24"/>
  <c r="CH36" i="24"/>
  <c r="CG36" i="24"/>
  <c r="CF36" i="24"/>
  <c r="CE36" i="24"/>
  <c r="CD36" i="24"/>
  <c r="CC36" i="24"/>
  <c r="CB36" i="24"/>
  <c r="CA36" i="24"/>
  <c r="BZ36" i="24"/>
  <c r="BY36" i="24"/>
  <c r="BX36" i="24"/>
  <c r="BW36" i="24"/>
  <c r="BV36" i="24"/>
  <c r="BU36" i="24"/>
  <c r="BT36" i="24"/>
  <c r="BS36" i="24"/>
  <c r="BR36" i="24"/>
  <c r="BQ36" i="24"/>
  <c r="BP36" i="24"/>
  <c r="BO36" i="24"/>
  <c r="BN36" i="24"/>
  <c r="BM36" i="24"/>
  <c r="BL36" i="24"/>
  <c r="BK36" i="24"/>
  <c r="BJ36" i="24"/>
  <c r="BI36" i="24"/>
  <c r="BH36" i="24"/>
  <c r="BG36" i="24"/>
  <c r="BF36" i="24"/>
  <c r="BE36" i="24"/>
  <c r="BD36" i="24"/>
  <c r="BC36" i="24"/>
  <c r="BB36" i="24"/>
  <c r="BA36" i="24"/>
  <c r="AZ36" i="24"/>
  <c r="AY36" i="24"/>
  <c r="AX36" i="24"/>
  <c r="AW36" i="24"/>
  <c r="AV36" i="24"/>
  <c r="AU36" i="24"/>
  <c r="AT36" i="24"/>
  <c r="AS36" i="24"/>
  <c r="AR36" i="24"/>
  <c r="AQ36" i="24"/>
  <c r="AP36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GD32" i="24"/>
  <c r="GC32" i="24"/>
  <c r="GB32" i="24"/>
  <c r="GA32" i="24"/>
  <c r="FZ32" i="24"/>
  <c r="FY32" i="24"/>
  <c r="FX32" i="24"/>
  <c r="FW32" i="24"/>
  <c r="FV32" i="24"/>
  <c r="FU32" i="24"/>
  <c r="FT32" i="24"/>
  <c r="FS32" i="24"/>
  <c r="FR32" i="24"/>
  <c r="FQ32" i="24"/>
  <c r="FP32" i="24"/>
  <c r="FO32" i="24"/>
  <c r="FN32" i="24"/>
  <c r="FM32" i="24"/>
  <c r="FL32" i="24"/>
  <c r="FK32" i="24"/>
  <c r="FJ32" i="24"/>
  <c r="FI32" i="24"/>
  <c r="FH32" i="24"/>
  <c r="FG32" i="24"/>
  <c r="FF32" i="24"/>
  <c r="FE32" i="24"/>
  <c r="FD32" i="24"/>
  <c r="FC32" i="24"/>
  <c r="FB32" i="24"/>
  <c r="FA32" i="24"/>
  <c r="EZ32" i="24"/>
  <c r="EY32" i="24"/>
  <c r="EX32" i="24"/>
  <c r="EW32" i="24"/>
  <c r="EV32" i="24"/>
  <c r="EU32" i="24"/>
  <c r="ET32" i="24"/>
  <c r="ES32" i="24"/>
  <c r="ER32" i="24"/>
  <c r="EQ32" i="24"/>
  <c r="EP32" i="24"/>
  <c r="EO32" i="24"/>
  <c r="EN32" i="24"/>
  <c r="EM32" i="24"/>
  <c r="EL32" i="24"/>
  <c r="EK32" i="24"/>
  <c r="EJ32" i="24"/>
  <c r="EI32" i="24"/>
  <c r="EH32" i="24"/>
  <c r="EG32" i="24"/>
  <c r="EF32" i="24"/>
  <c r="EE32" i="24"/>
  <c r="ED32" i="24"/>
  <c r="EC32" i="24"/>
  <c r="EB32" i="24"/>
  <c r="EA32" i="24"/>
  <c r="DZ32" i="24"/>
  <c r="DY32" i="24"/>
  <c r="DX32" i="24"/>
  <c r="DW32" i="24"/>
  <c r="DV32" i="24"/>
  <c r="DU32" i="24"/>
  <c r="DT32" i="24"/>
  <c r="DS32" i="24"/>
  <c r="DR32" i="24"/>
  <c r="DQ32" i="24"/>
  <c r="DP32" i="24"/>
  <c r="DO32" i="24"/>
  <c r="DN32" i="24"/>
  <c r="DM32" i="24"/>
  <c r="DL32" i="24"/>
  <c r="DK32" i="24"/>
  <c r="DJ32" i="24"/>
  <c r="DI32" i="24"/>
  <c r="DH32" i="24"/>
  <c r="DG32" i="24"/>
  <c r="DF32" i="24"/>
  <c r="DE32" i="24"/>
  <c r="DD32" i="24"/>
  <c r="DC32" i="24"/>
  <c r="DB32" i="24"/>
  <c r="DA32" i="24"/>
  <c r="CZ32" i="24"/>
  <c r="CY32" i="24"/>
  <c r="CX32" i="24"/>
  <c r="CW32" i="24"/>
  <c r="CV32" i="24"/>
  <c r="CU32" i="24"/>
  <c r="CT32" i="24"/>
  <c r="CS32" i="24"/>
  <c r="CR32" i="24"/>
  <c r="CQ32" i="24"/>
  <c r="CP32" i="24"/>
  <c r="CO32" i="24"/>
  <c r="CN32" i="24"/>
  <c r="CM32" i="24"/>
  <c r="CL32" i="24"/>
  <c r="CK32" i="24"/>
  <c r="CJ32" i="24"/>
  <c r="CI32" i="24"/>
  <c r="CH32" i="24"/>
  <c r="CG32" i="24"/>
  <c r="CF32" i="24"/>
  <c r="CE32" i="24"/>
  <c r="CD32" i="24"/>
  <c r="CC32" i="24"/>
  <c r="CB32" i="24"/>
  <c r="CA32" i="24"/>
  <c r="BZ32" i="24"/>
  <c r="BY32" i="24"/>
  <c r="BX32" i="24"/>
  <c r="BW32" i="24"/>
  <c r="BV32" i="24"/>
  <c r="BU32" i="24"/>
  <c r="BT32" i="24"/>
  <c r="BS32" i="24"/>
  <c r="BR32" i="24"/>
  <c r="BQ32" i="24"/>
  <c r="BP32" i="24"/>
  <c r="BO32" i="24"/>
  <c r="BN32" i="24"/>
  <c r="BM32" i="24"/>
  <c r="BL32" i="24"/>
  <c r="BK32" i="24"/>
  <c r="BJ32" i="24"/>
  <c r="BI32" i="24"/>
  <c r="BH32" i="24"/>
  <c r="BG32" i="24"/>
  <c r="BF32" i="24"/>
  <c r="BE32" i="24"/>
  <c r="BD32" i="24"/>
  <c r="BC32" i="24"/>
  <c r="BB32" i="24"/>
  <c r="BA32" i="24"/>
  <c r="AZ32" i="24"/>
  <c r="AY32" i="24"/>
  <c r="AX32" i="24"/>
  <c r="AW32" i="24"/>
  <c r="AV32" i="24"/>
  <c r="AU32" i="24"/>
  <c r="AT32" i="24"/>
  <c r="AS32" i="24"/>
  <c r="AR32" i="24"/>
  <c r="AQ32" i="24"/>
  <c r="AP32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ET21" i="24"/>
  <c r="ER21" i="24"/>
  <c r="EL21" i="24"/>
  <c r="FT21" i="24"/>
  <c r="FR21" i="24"/>
  <c r="FB21" i="24"/>
  <c r="GD21" i="24"/>
  <c r="GC21" i="24"/>
  <c r="GB21" i="24"/>
  <c r="GA21" i="24"/>
  <c r="FZ21" i="24"/>
  <c r="FY21" i="24"/>
  <c r="FX21" i="24"/>
  <c r="FW21" i="24"/>
  <c r="FV21" i="24"/>
  <c r="FU21" i="24"/>
  <c r="FS21" i="24"/>
  <c r="FQ21" i="24"/>
  <c r="FP21" i="24"/>
  <c r="FO21" i="24"/>
  <c r="FN21" i="24"/>
  <c r="FM21" i="24"/>
  <c r="FL21" i="24"/>
  <c r="FK21" i="24"/>
  <c r="FJ21" i="24"/>
  <c r="FI21" i="24"/>
  <c r="FH21" i="24"/>
  <c r="FG21" i="24"/>
  <c r="FF21" i="24"/>
  <c r="FE21" i="24"/>
  <c r="FD21" i="24"/>
  <c r="FC21" i="24"/>
  <c r="EZ21" i="24"/>
  <c r="EY21" i="24"/>
  <c r="EX21" i="24"/>
  <c r="EW21" i="24"/>
  <c r="EV21" i="24"/>
  <c r="EU21" i="24"/>
  <c r="ES21" i="24"/>
  <c r="EO21" i="24"/>
  <c r="EM21" i="24"/>
  <c r="EK21" i="24"/>
  <c r="EJ21" i="24"/>
  <c r="EI21" i="24"/>
  <c r="EH21" i="24"/>
  <c r="EG21" i="24"/>
  <c r="EF21" i="24"/>
  <c r="EE21" i="24"/>
  <c r="ED21" i="24"/>
  <c r="EC21" i="24"/>
  <c r="EB21" i="24"/>
  <c r="EA21" i="24"/>
  <c r="DZ21" i="24"/>
  <c r="DY21" i="24"/>
  <c r="DX21" i="24"/>
  <c r="DW21" i="24"/>
  <c r="DV21" i="24"/>
  <c r="DU21" i="24"/>
  <c r="DT21" i="24"/>
  <c r="DS21" i="24"/>
  <c r="DR21" i="24"/>
  <c r="DQ21" i="24"/>
  <c r="DP21" i="24"/>
  <c r="DO21" i="24"/>
  <c r="DN21" i="24"/>
  <c r="DM21" i="24"/>
  <c r="DL21" i="24"/>
  <c r="DK21" i="24"/>
  <c r="DJ21" i="24"/>
  <c r="DH21" i="24"/>
  <c r="DG21" i="24"/>
  <c r="DF21" i="24"/>
  <c r="DE21" i="24"/>
  <c r="DD21" i="24"/>
  <c r="DC21" i="24"/>
  <c r="DB21" i="24"/>
  <c r="DA21" i="24"/>
  <c r="CZ21" i="24"/>
  <c r="CY21" i="24"/>
  <c r="CX21" i="24"/>
  <c r="CW21" i="24"/>
  <c r="CV21" i="24"/>
  <c r="CU21" i="24"/>
  <c r="CT21" i="24"/>
  <c r="CS21" i="24"/>
  <c r="CR21" i="24"/>
  <c r="CQ21" i="24"/>
  <c r="CP21" i="24"/>
  <c r="CO21" i="24"/>
  <c r="CN21" i="24"/>
  <c r="CL21" i="24"/>
  <c r="CK21" i="24"/>
  <c r="CI21" i="24"/>
  <c r="CH21" i="24"/>
  <c r="CG21" i="24"/>
  <c r="CF21" i="24"/>
  <c r="CE21" i="24"/>
  <c r="CD21" i="24"/>
  <c r="CC21" i="24"/>
  <c r="CB21" i="24"/>
  <c r="CA21" i="24"/>
  <c r="BZ21" i="24"/>
  <c r="BY21" i="24"/>
  <c r="BX21" i="24"/>
  <c r="BW21" i="24"/>
  <c r="BV21" i="24"/>
  <c r="BU21" i="24"/>
  <c r="BT21" i="24"/>
  <c r="BS21" i="24"/>
  <c r="BR21" i="24"/>
  <c r="BQ21" i="24"/>
  <c r="BP21" i="24"/>
  <c r="BO21" i="24"/>
  <c r="BN21" i="24"/>
  <c r="BM21" i="24"/>
  <c r="BL21" i="24"/>
  <c r="BK21" i="24"/>
  <c r="BI21" i="24"/>
  <c r="BH21" i="24"/>
  <c r="BG21" i="24"/>
  <c r="BF21" i="24"/>
  <c r="BE21" i="24"/>
  <c r="BD21" i="24"/>
  <c r="BC21" i="24"/>
  <c r="BB21" i="24"/>
  <c r="BA21" i="24"/>
  <c r="AZ21" i="24"/>
  <c r="AY21" i="24"/>
  <c r="AX21" i="24"/>
  <c r="AW21" i="24"/>
  <c r="AV21" i="24"/>
  <c r="AU21" i="24"/>
  <c r="AT21" i="24"/>
  <c r="AS21" i="24"/>
  <c r="AR21" i="24"/>
  <c r="AQ21" i="24"/>
  <c r="AP21" i="24"/>
  <c r="AO21" i="24"/>
  <c r="AN21" i="24"/>
  <c r="AM21" i="24"/>
  <c r="AL21" i="24"/>
  <c r="AK21" i="24"/>
  <c r="AJ21" i="24"/>
  <c r="AI21" i="24"/>
  <c r="AH21" i="24"/>
  <c r="AG21" i="24"/>
  <c r="AF21" i="24"/>
  <c r="AE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I21" i="24"/>
  <c r="H21" i="24"/>
  <c r="G21" i="24"/>
  <c r="F21" i="24"/>
  <c r="E21" i="24"/>
  <c r="D21" i="24"/>
  <c r="FM11" i="24"/>
  <c r="GD11" i="24"/>
  <c r="GC11" i="24"/>
  <c r="GB11" i="24"/>
  <c r="GA11" i="24"/>
  <c r="FZ11" i="24"/>
  <c r="FY11" i="24"/>
  <c r="FX11" i="24"/>
  <c r="FW11" i="24"/>
  <c r="FV11" i="24"/>
  <c r="FU11" i="24"/>
  <c r="FT11" i="24"/>
  <c r="FS11" i="24"/>
  <c r="FR11" i="24"/>
  <c r="FQ11" i="24"/>
  <c r="FP11" i="24"/>
  <c r="FO11" i="24"/>
  <c r="FN11" i="24"/>
  <c r="FL11" i="24"/>
  <c r="FK11" i="24"/>
  <c r="FJ11" i="24"/>
  <c r="FI11" i="24"/>
  <c r="FH11" i="24"/>
  <c r="FG11" i="24"/>
  <c r="FF11" i="24"/>
  <c r="FE11" i="24"/>
  <c r="FD11" i="24"/>
  <c r="FC11" i="24"/>
  <c r="FB11" i="24"/>
  <c r="FA11" i="24"/>
  <c r="EZ11" i="24"/>
  <c r="EY11" i="24"/>
  <c r="EX11" i="24"/>
  <c r="EW11" i="24"/>
  <c r="EV11" i="24"/>
  <c r="EU11" i="24"/>
  <c r="ET11" i="24"/>
  <c r="ES11" i="24"/>
  <c r="ER11" i="24"/>
  <c r="EQ11" i="24"/>
  <c r="EP11" i="24"/>
  <c r="EO11" i="24"/>
  <c r="EN11" i="24"/>
  <c r="EM11" i="24"/>
  <c r="EL11" i="24"/>
  <c r="EK11" i="24"/>
  <c r="EJ11" i="24"/>
  <c r="EI11" i="24"/>
  <c r="EH11" i="24"/>
  <c r="EG11" i="24"/>
  <c r="EF11" i="24"/>
  <c r="EE11" i="24"/>
  <c r="ED11" i="24"/>
  <c r="EC11" i="24"/>
  <c r="EB11" i="24"/>
  <c r="EA11" i="24"/>
  <c r="DZ11" i="24"/>
  <c r="DY11" i="24"/>
  <c r="DX11" i="24"/>
  <c r="DW11" i="24"/>
  <c r="DV11" i="24"/>
  <c r="DU11" i="24"/>
  <c r="DT11" i="24"/>
  <c r="DS11" i="24"/>
  <c r="DR11" i="24"/>
  <c r="DQ11" i="24"/>
  <c r="DP11" i="24"/>
  <c r="DO11" i="24"/>
  <c r="DN11" i="24"/>
  <c r="DM11" i="24"/>
  <c r="DL11" i="24"/>
  <c r="DK11" i="24"/>
  <c r="DJ11" i="24"/>
  <c r="DI11" i="24"/>
  <c r="DH11" i="24"/>
  <c r="DG11" i="24"/>
  <c r="DF11" i="24"/>
  <c r="DE11" i="24"/>
  <c r="DD11" i="24"/>
  <c r="DC11" i="24"/>
  <c r="DB11" i="24"/>
  <c r="DA11" i="24"/>
  <c r="CZ11" i="24"/>
  <c r="CY11" i="24"/>
  <c r="CX11" i="24"/>
  <c r="CW11" i="24"/>
  <c r="CV11" i="24"/>
  <c r="CU11" i="24"/>
  <c r="CT11" i="24"/>
  <c r="CS11" i="24"/>
  <c r="CR11" i="24"/>
  <c r="CQ11" i="24"/>
  <c r="CP11" i="24"/>
  <c r="CO11" i="24"/>
  <c r="CN11" i="24"/>
  <c r="CL11" i="24"/>
  <c r="CK11" i="24"/>
  <c r="CI11" i="24"/>
  <c r="CH11" i="24"/>
  <c r="CG11" i="24"/>
  <c r="CF11" i="24"/>
  <c r="CE11" i="24"/>
  <c r="CD11" i="24"/>
  <c r="CC11" i="24"/>
  <c r="CB11" i="24"/>
  <c r="CA11" i="24"/>
  <c r="BZ11" i="24"/>
  <c r="BY11" i="24"/>
  <c r="BX11" i="24"/>
  <c r="BW11" i="24"/>
  <c r="BV11" i="24"/>
  <c r="BU11" i="24"/>
  <c r="BT11" i="24"/>
  <c r="BS11" i="24"/>
  <c r="BR11" i="24"/>
  <c r="BQ11" i="24"/>
  <c r="BP11" i="24"/>
  <c r="BO11" i="24"/>
  <c r="BN11" i="24"/>
  <c r="BM11" i="24"/>
  <c r="BL11" i="24"/>
  <c r="BK11" i="24"/>
  <c r="BJ11" i="24"/>
  <c r="BI11" i="24"/>
  <c r="BH11" i="24"/>
  <c r="BG11" i="24"/>
  <c r="BF11" i="24"/>
  <c r="BE11" i="24"/>
  <c r="BD11" i="24"/>
  <c r="BC11" i="24"/>
  <c r="BB11" i="24"/>
  <c r="BA11" i="24"/>
  <c r="AZ11" i="24"/>
  <c r="AY11" i="24"/>
  <c r="AX11" i="24"/>
  <c r="AW11" i="24"/>
  <c r="AV11" i="24"/>
  <c r="AU11" i="24"/>
  <c r="AT11" i="24"/>
  <c r="AS11" i="24"/>
  <c r="AQ11" i="24"/>
  <c r="AP11" i="24"/>
  <c r="AO11" i="24"/>
  <c r="AN11" i="24"/>
  <c r="AM11" i="24"/>
  <c r="AL11" i="24"/>
  <c r="AK11" i="24"/>
  <c r="AJ11" i="24"/>
  <c r="AI11" i="24"/>
  <c r="AH11" i="24"/>
  <c r="AG11" i="24"/>
  <c r="AF11" i="24"/>
  <c r="AE11" i="24"/>
  <c r="AD11" i="24"/>
  <c r="AC11" i="24"/>
  <c r="AA11" i="24"/>
  <c r="Z11" i="24"/>
  <c r="Y11" i="24"/>
  <c r="W11" i="24"/>
  <c r="U11" i="24"/>
  <c r="T11" i="24"/>
  <c r="S11" i="24"/>
  <c r="R11" i="24"/>
  <c r="Q11" i="24"/>
  <c r="P11" i="24"/>
  <c r="O11" i="24"/>
  <c r="N11" i="24"/>
  <c r="M11" i="24"/>
  <c r="K11" i="24"/>
  <c r="J11" i="24"/>
  <c r="I11" i="24"/>
  <c r="H11" i="24"/>
  <c r="G11" i="24"/>
  <c r="F11" i="24"/>
  <c r="E11" i="24"/>
  <c r="D11" i="24"/>
  <c r="EJ5" i="24"/>
  <c r="EK5" i="24" s="1"/>
  <c r="EL5" i="24" s="1"/>
  <c r="EM5" i="24" s="1"/>
  <c r="EN5" i="24" s="1"/>
  <c r="EO5" i="24" s="1"/>
  <c r="EP5" i="24" s="1"/>
  <c r="EQ5" i="24" s="1"/>
  <c r="ER5" i="24" s="1"/>
  <c r="ES5" i="24" s="1"/>
  <c r="ET5" i="24" s="1"/>
  <c r="EU5" i="24" s="1"/>
  <c r="EV5" i="24" s="1"/>
  <c r="EW5" i="24" s="1"/>
  <c r="EX5" i="24" s="1"/>
  <c r="EY5" i="24" s="1"/>
  <c r="EZ5" i="24" s="1"/>
  <c r="FA5" i="24" s="1"/>
  <c r="FB5" i="24" s="1"/>
  <c r="FC5" i="24" s="1"/>
  <c r="FD5" i="24" s="1"/>
  <c r="FE5" i="24" s="1"/>
  <c r="FF5" i="24" s="1"/>
  <c r="FG5" i="24" s="1"/>
  <c r="FH5" i="24" s="1"/>
  <c r="FI5" i="24" s="1"/>
  <c r="FJ5" i="24" s="1"/>
  <c r="FK5" i="24" s="1"/>
  <c r="FL5" i="24" s="1"/>
  <c r="FM5" i="24" s="1"/>
  <c r="FN5" i="24" s="1"/>
  <c r="FO5" i="24" s="1"/>
  <c r="FP5" i="24" s="1"/>
  <c r="FQ5" i="24" s="1"/>
  <c r="FR5" i="24" s="1"/>
  <c r="FS5" i="24" s="1"/>
  <c r="FT5" i="24" s="1"/>
  <c r="FU5" i="24" s="1"/>
  <c r="FV5" i="24" s="1"/>
  <c r="FW5" i="24" s="1"/>
  <c r="FX5" i="24" s="1"/>
  <c r="FY5" i="24" s="1"/>
  <c r="FZ5" i="24" s="1"/>
  <c r="GA5" i="24" s="1"/>
  <c r="GB5" i="24" s="1"/>
  <c r="GC5" i="24" s="1"/>
  <c r="GD5" i="24" s="1"/>
  <c r="GE5" i="24" s="1"/>
  <c r="GF5" i="24" s="1"/>
  <c r="GG5" i="24" s="1"/>
  <c r="GH5" i="24" s="1"/>
  <c r="GI5" i="24" s="1"/>
  <c r="GJ5" i="24" s="1"/>
  <c r="GK5" i="24" s="1"/>
  <c r="GL5" i="24" s="1"/>
  <c r="GM5" i="24" s="1"/>
  <c r="GN5" i="24" s="1"/>
  <c r="GO5" i="24" s="1"/>
  <c r="GP5" i="24" s="1"/>
  <c r="GQ5" i="24" s="1"/>
  <c r="GR5" i="24" s="1"/>
  <c r="GS5" i="24" s="1"/>
  <c r="GT5" i="24" s="1"/>
  <c r="GU5" i="24" s="1"/>
  <c r="GV5" i="24" s="1"/>
  <c r="GW5" i="24" s="1"/>
  <c r="GX5" i="24" s="1"/>
  <c r="GY5" i="24" s="1"/>
  <c r="GZ5" i="24" s="1"/>
  <c r="HB5" i="24" s="1"/>
  <c r="HC5" i="24" s="1"/>
  <c r="HD5" i="24" s="1"/>
  <c r="J21" i="24" l="1"/>
  <c r="V11" i="24"/>
  <c r="X11" i="24"/>
  <c r="HE5" i="24"/>
  <c r="HF5" i="24" s="1"/>
  <c r="HG5" i="24" s="1"/>
  <c r="HH5" i="24" s="1"/>
  <c r="HI5" i="24" s="1"/>
  <c r="HJ5" i="24" s="1"/>
  <c r="HK5" i="24" s="1"/>
  <c r="HL5" i="24" s="1"/>
  <c r="HM5" i="24" s="1"/>
  <c r="HN5" i="24" s="1"/>
  <c r="HO5" i="24" s="1"/>
  <c r="HP5" i="24" s="1"/>
  <c r="HQ5" i="24" s="1"/>
  <c r="HR5" i="24" s="1"/>
  <c r="HS5" i="24" s="1"/>
  <c r="HT5" i="24" s="1"/>
  <c r="HU5" i="24" s="1"/>
  <c r="HV5" i="24" s="1"/>
  <c r="HW5" i="24" s="1"/>
  <c r="HX5" i="24" s="1"/>
  <c r="HY5" i="24" s="1"/>
  <c r="HZ5" i="24" s="1"/>
  <c r="IA5" i="24" s="1"/>
  <c r="IB5" i="24" s="1"/>
  <c r="IC5" i="24" s="1"/>
  <c r="ID5" i="24" s="1"/>
  <c r="IE5" i="24" s="1"/>
  <c r="IF5" i="24" s="1"/>
  <c r="IG5" i="24" s="1"/>
  <c r="IH5" i="24" s="1"/>
  <c r="II5" i="24" s="1"/>
  <c r="IJ5" i="24" s="1"/>
  <c r="IK5" i="24" s="1"/>
  <c r="IL5" i="24" s="1"/>
  <c r="IM5" i="24" s="1"/>
  <c r="IN5" i="24" s="1"/>
  <c r="IO5" i="24" s="1"/>
  <c r="IP5" i="24" s="1"/>
  <c r="IQ5" i="24" s="1"/>
  <c r="IR5" i="24" s="1"/>
  <c r="IS5" i="24" s="1"/>
  <c r="IT5" i="24" s="1"/>
  <c r="IU5" i="24" s="1"/>
  <c r="IV5" i="24" s="1"/>
  <c r="IW5" i="24" s="1"/>
  <c r="IX5" i="24" s="1"/>
  <c r="IY5" i="24" s="1"/>
  <c r="IZ5" i="24" s="1"/>
  <c r="JA5" i="24" s="1"/>
  <c r="JB5" i="24" s="1"/>
  <c r="JC5" i="24" s="1"/>
  <c r="JD5" i="24" s="1"/>
  <c r="JE5" i="24" s="1"/>
  <c r="JF5" i="24" s="1"/>
  <c r="JG5" i="24" s="1"/>
  <c r="JH5" i="24" s="1"/>
  <c r="JI5" i="24" s="1"/>
  <c r="JJ5" i="24" s="1"/>
  <c r="JK5" i="24" s="1"/>
  <c r="JL5" i="24" s="1"/>
  <c r="JM5" i="24" s="1"/>
  <c r="JN5" i="24" s="1"/>
  <c r="JO5" i="24" s="1"/>
  <c r="JP5" i="24" s="1"/>
  <c r="JQ5" i="24" s="1"/>
  <c r="I42" i="24"/>
  <c r="JR5" i="24" l="1"/>
  <c r="JS5" i="24" s="1"/>
  <c r="JT5" i="24" s="1"/>
  <c r="JU5" i="24" s="1"/>
  <c r="JV5" i="24" s="1"/>
  <c r="JW5" i="24" s="1"/>
  <c r="JX5" i="24" s="1"/>
  <c r="JY5" i="24" s="1"/>
  <c r="JZ5" i="24" s="1"/>
  <c r="KA5" i="24" s="1"/>
  <c r="KB5" i="24" s="1"/>
  <c r="KC5" i="24" s="1"/>
  <c r="KD5" i="24" s="1"/>
  <c r="KE5" i="24" s="1"/>
  <c r="KF5" i="24" s="1"/>
  <c r="KG5" i="24" s="1"/>
  <c r="KH5" i="24" s="1"/>
  <c r="KI5" i="24" s="1"/>
  <c r="KJ5" i="24" s="1"/>
  <c r="KK5" i="24" s="1"/>
  <c r="KL5" i="24" s="1"/>
  <c r="H42" i="24"/>
  <c r="KM5" i="24" l="1"/>
  <c r="KN5" i="24" s="1"/>
  <c r="KO5" i="24" s="1"/>
  <c r="KP5" i="24" s="1"/>
  <c r="KQ5" i="24" s="1"/>
  <c r="KR5" i="24" s="1"/>
  <c r="KS5" i="24" s="1"/>
  <c r="KT5" i="24" s="1"/>
  <c r="KU5" i="24" s="1"/>
  <c r="KV5" i="24" s="1"/>
  <c r="KW5" i="24" s="1"/>
  <c r="KX5" i="24" s="1"/>
  <c r="KY5" i="24" s="1"/>
  <c r="KZ5" i="24" s="1"/>
  <c r="LA5" i="24" s="1"/>
  <c r="LB5" i="24" s="1"/>
  <c r="LD5" i="24" s="1"/>
  <c r="LE5" i="24" s="1"/>
  <c r="LF5" i="24" s="1"/>
  <c r="LG5" i="24" s="1"/>
  <c r="LH5" i="24" s="1"/>
  <c r="LI5" i="24" s="1"/>
  <c r="LJ5" i="24" s="1"/>
  <c r="LL5" i="24" s="1"/>
  <c r="LM5" i="24" s="1"/>
  <c r="LN5" i="24" s="1"/>
  <c r="LO5" i="24" s="1"/>
  <c r="LP5" i="24" s="1"/>
  <c r="LQ5" i="24" s="1"/>
  <c r="LR5" i="24" s="1"/>
  <c r="LS5" i="24" s="1"/>
  <c r="LT5" i="24" s="1"/>
  <c r="LU5" i="24" s="1"/>
  <c r="LV5" i="24" s="1"/>
  <c r="LW5" i="24" s="1"/>
  <c r="LX5" i="24" s="1"/>
  <c r="LY5" i="24" s="1"/>
  <c r="LZ5" i="24" s="1"/>
  <c r="MA5" i="24" s="1"/>
  <c r="MB5" i="24" s="1"/>
  <c r="MC5" i="24" s="1"/>
  <c r="MD5" i="24" s="1"/>
  <c r="ME5" i="24" s="1"/>
  <c r="MF5" i="24" s="1"/>
  <c r="MG5" i="24" s="1"/>
  <c r="MH5" i="24" s="1"/>
  <c r="MI5" i="24" s="1"/>
  <c r="MJ5" i="24" s="1"/>
  <c r="MK5" i="24" s="1"/>
  <c r="ML5" i="24" s="1"/>
  <c r="MM5" i="24" s="1"/>
  <c r="MN5" i="24" s="1"/>
  <c r="MO5" i="24" s="1"/>
  <c r="MP5" i="24" s="1"/>
  <c r="MQ5" i="24" s="1"/>
  <c r="MR5" i="24" s="1"/>
  <c r="MS5" i="24" s="1"/>
  <c r="MT5" i="24" s="1"/>
  <c r="MU5" i="24" s="1"/>
  <c r="MV5" i="24" s="1"/>
  <c r="MW5" i="24" s="1"/>
  <c r="G42" i="24"/>
  <c r="F42" i="24" l="1"/>
  <c r="E42" i="24" l="1"/>
  <c r="D42" i="24" l="1"/>
</calcChain>
</file>

<file path=xl/sharedStrings.xml><?xml version="1.0" encoding="utf-8"?>
<sst xmlns="http://schemas.openxmlformats.org/spreadsheetml/2006/main" count="2279" uniqueCount="747">
  <si>
    <t>Ашигт малтмалын нєєц ашигласны тєлбєр</t>
  </si>
  <si>
    <t>Газрын тєлбєр</t>
  </si>
  <si>
    <t>Ус, рашаан ашигласны тєлбєр</t>
  </si>
  <si>
    <t>ХК</t>
  </si>
  <si>
    <t>ХХК</t>
  </si>
  <si>
    <t>ЗБН</t>
  </si>
  <si>
    <t>Ðåãèñòð</t>
  </si>
  <si>
    <t>Òàòâàðûí àëáà</t>
  </si>
  <si>
    <t>ÕÕÊ</t>
  </si>
  <si>
    <t>Çààâðûí õîëáîãäîõ õýñýã ¹</t>
  </si>
  <si>
    <t>1. Êîìïàíèàñ óëñûí áîëîí îðîí íóòãèéí òºñºâò òºëñºí òàòâàð, òºëáºð</t>
  </si>
  <si>
    <t>1à. Òºëñºí òàòâàðóóä</t>
  </si>
  <si>
    <t xml:space="preserve">Àæ àõóéí íýãæèéí îðëîãûí àëáàí òàòâàð </t>
  </si>
  <si>
    <t xml:space="preserve">Ãààëèéí àëáàí òàòâàð              </t>
  </si>
  <si>
    <t>Çàðèì á¿òýýãäýõ¿¿íèé ¿íèéí ºñºëòèéí àëáàí òàòâàð</t>
  </si>
  <si>
    <t xml:space="preserve">¯ë õºäëºõ õºðºíãèéí àëáàí òàòâàð              </t>
  </si>
  <si>
    <t>Îíöãîé àëáàí òàòâàð (øàòàõ òîñëîõ ìàòåðèàë èìïîðòîëñîí áîë)</t>
  </si>
  <si>
    <t xml:space="preserve">Àâòîáåíçèí, äèçåëèéí ò¿ëøíèé àëáàí òàòâàð </t>
  </si>
  <si>
    <t>Àâòîòýýâýð, ººðºº ÿâàã÷ õýðýãñëèéí àëáàí òàòâàð</t>
  </si>
  <si>
    <t>Áóñàä òàòâàð ìºíãºí ä¿íãýýð</t>
  </si>
  <si>
    <t>1á. Òºëáºð</t>
  </si>
  <si>
    <t>1.2.</t>
  </si>
  <si>
    <t xml:space="preserve">Àøèãò ìàëòìàëûí àøèãëàëòûí áîëîí õàéãóóëûí òóñãàé çºâøººðëèéí òºëáºð              </t>
  </si>
  <si>
    <t>Óëñûí òºñâèéí õºðºíãººð õàéãóóë õèéñýí îðäûí íºõºí òºëáºð</t>
  </si>
  <si>
    <t>Ãàäààäûí ìýðãýæèëòýí, àæèë÷íû àæëûí áàéðíû òºëáºð</t>
  </si>
  <si>
    <t>Ò¿ãýýìýë òàðõàöòàé àøèãò ìàëòìàëûí íººö àøèãëàñíû òºëáºð</t>
  </si>
  <si>
    <t>1â. Õóðààìæ, ¿éë÷èëãýýíèé õºëñ</t>
  </si>
  <si>
    <t>1.3.</t>
  </si>
  <si>
    <t>Çîõèõ õóóëü òîãòîîìæèéí äàãóó òºâ, îðîí íóòãèéí òºðèéí çàõèðãààíû áàéãóóëëàãàä òºëñºí óëñûí òýìäýãòèéí õóðààìæ, áóñàä õóðààìæ</t>
  </si>
  <si>
    <t>Çîõèõ õóóëü òîãòîîìæèéí äàãóó òºâ, îðîí íóòãèéí òºðèéí çàõèðãààíû áàéãóóëëàãàä òºëñºí ¿éë÷èëãýýíèé õºëñ</t>
  </si>
  <si>
    <t>1ã. Òºðèéí áîëîí îðîí íóòãèéí ºì÷èéí íîãäîë àøèã</t>
  </si>
  <si>
    <t>1.4.</t>
  </si>
  <si>
    <t>Òºðèéí ºì÷èéí íîãäîë àøèã</t>
  </si>
  <si>
    <t>Îðîí íóòãèéí ºì÷èéí íîãäîë àøèã</t>
  </si>
  <si>
    <t>1ä. Õ¿ëýýí àâàã÷ Çàñãèéí ãàçàðò òºëñºí áóñàä òºëáºð¿¿ä</t>
  </si>
  <si>
    <t>1å. Òºðèéí  áàéãóóëëàãàä ¿ç¿¿ëñýí äýìæëýã</t>
  </si>
  <si>
    <t xml:space="preserve">2. Àøèã, îðëîãûí ã¿éëãýýí¿¿ä </t>
  </si>
  <si>
    <t>1.7</t>
  </si>
  <si>
    <t>Ãýðýý, òîäîðõîé íºõöëººð õºíãºëñºí, ÷ºëººëñºí òàòâàðûí ä¿í</t>
  </si>
  <si>
    <t>Íèéò òàòâàð, òºëáºðèéí õýìæýý, ìÿí.òºã</t>
  </si>
  <si>
    <t xml:space="preserve">Àøèãò ìàëòìàëûí àøèãëàëòûí áîëîí õàéãóóëûí òóñãàé çºâøººðëèéí òºëáºð  /äîëëàð/           </t>
  </si>
  <si>
    <t>Á¿òýýãäýõ¿¿í õóâààõ ãýðýý á¿õèé  àæ àõóéí íýãæèéí Çàñãèéí ãàçàðò íîãäîõ á¿òýýãäýõ¿¿íèé îðîíä òºëñºí òºëáºð /äîëëàð/</t>
  </si>
  <si>
    <t>Äýñ äóãààð</t>
  </si>
  <si>
    <t>Àæ àõóéí íýãæèéí íýð</t>
  </si>
  <si>
    <t>Áóñàä/äîëëàð/</t>
  </si>
  <si>
    <t>1.1.</t>
  </si>
  <si>
    <t>ТЄҮГ</t>
  </si>
  <si>
    <t>Ойгоос хэрэглээний мод, түлээ бэлтгэж ашигласны тєлбєр</t>
  </si>
  <si>
    <t>Ãààëèéí ¿éë÷èëãýýíèé õóðààìæ</t>
  </si>
  <si>
    <t>Áóñàä</t>
  </si>
  <si>
    <t>ÀÀÍ-ýýñ ÿàì, àãåíòëàã ¿ç¿¿ëñýí ìºíãºí äýìæëýã</t>
  </si>
  <si>
    <t>ÀÀÍ-ýýñ àéìàãò ¿ç¿¿ëñýí ìºíãºí äýìæëýã</t>
  </si>
  <si>
    <t>ÀÀÍ-ýýñ ñóìàíä ¿ç¿¿ëñýí ìºíãºí äýìæëýã</t>
  </si>
  <si>
    <t>ÀÀÍ-ýýñ îðîí íóòãèéí áàéãóóëàãàä ¿ç¿¿ëñýí ìºíãºí äýìæëýã</t>
  </si>
  <si>
    <t>ÀÀÍ-ýýñ îðîí íóòãèéí õàðèëöàà, òîãòâîðòîé õºãæèëä çàðöóóëñàí õºðºíãº</t>
  </si>
  <si>
    <t>ª¿ÿêºàíåé</t>
  </si>
  <si>
    <t>Äàìáàò</t>
  </si>
  <si>
    <t>Æè ýíä Þó ãîëä</t>
  </si>
  <si>
    <t>Çîëîòîÿ êîðîíà</t>
  </si>
  <si>
    <t>Ðýäõèëìîíãîëèÿ</t>
  </si>
  <si>
    <t>ÎÄÖÝ</t>
  </si>
  <si>
    <t>Ïîëîðåñîðñåç</t>
  </si>
  <si>
    <t>Ìîíäóëààí òðåéä</t>
  </si>
  <si>
    <t>ÕÎÒÓ</t>
  </si>
  <si>
    <t>Òºãðºã íóóðûí ýíåðæè</t>
  </si>
  <si>
    <t>Òýýëèéí øîíõîð</t>
  </si>
  <si>
    <t>Ýðäýíýò</t>
  </si>
  <si>
    <t>Ýì Æè Áè</t>
  </si>
  <si>
    <t>Ýõ äýëõèé øèíòàé</t>
  </si>
  <si>
    <t>Àâðàãà òîñîí õýíòèé</t>
  </si>
  <si>
    <t>Àâäàðáàÿí</t>
  </si>
  <si>
    <t>Àäàìàñìàéíèíèã</t>
  </si>
  <si>
    <t>Àé Ýñ Òè êîíñòðàêøí</t>
  </si>
  <si>
    <t>Àéâåíõîó ìàéíç ìîíãîëèÿ èíê</t>
  </si>
  <si>
    <t>Àëòàéãîëä</t>
  </si>
  <si>
    <t>Àëòàíõºìðºã èíâýñò</t>
  </si>
  <si>
    <t>Àíèø</t>
  </si>
  <si>
    <t>Àíõàé èíòåðíýøíë</t>
  </si>
  <si>
    <t>Àðâèí õàä</t>
  </si>
  <si>
    <t>Àðèóí-ªðíºõ</t>
  </si>
  <si>
    <t>ÀÓÌ</t>
  </si>
  <si>
    <t>ÀØÁ</t>
  </si>
  <si>
    <t>Áàãàíóóð</t>
  </si>
  <si>
    <t>Áàðèëãà-Îðä</t>
  </si>
  <si>
    <t>Áàðóóí Ìîíãîëûí ìåòàëë</t>
  </si>
  <si>
    <t>Áàò-Àäàð</t>
  </si>
  <si>
    <t>Áàò-Àëò òºâ</t>
  </si>
  <si>
    <t>Áàÿëàã ãàçàð</t>
  </si>
  <si>
    <t>Áàÿëàã-Îðä</t>
  </si>
  <si>
    <t>Áàÿíòýãø èìïåêñ</t>
  </si>
  <si>
    <t>Áàÿíòýýã</t>
  </si>
  <si>
    <t>Áàÿí-Ýðäýñ</t>
  </si>
  <si>
    <t>Áè Áè ýíä Ýñ</t>
  </si>
  <si>
    <t>Áîëä òºìºð åðºº ãîë</t>
  </si>
  <si>
    <t>Áîðîîãîóëä</t>
  </si>
  <si>
    <t>Áóä-Èíâåñò</t>
  </si>
  <si>
    <t>Áóëãàí-Èíâåñò</t>
  </si>
  <si>
    <t>Áýðëýã ìàéíèíã</t>
  </si>
  <si>
    <t>Áýðõ-Óóë</t>
  </si>
  <si>
    <t>Ãàöóóðò</t>
  </si>
  <si>
    <t>Ãîáè êîóë ýíä ýíåðæè</t>
  </si>
  <si>
    <t>Ãîëäåíòàéãà</t>
  </si>
  <si>
    <t>Ã¿íáèëýã òðåéä</t>
  </si>
  <si>
    <t>Ãóðàâò</t>
  </si>
  <si>
    <t>Ãóðâàí òºõºì</t>
  </si>
  <si>
    <t>Äàðõàí-Àëòàí òóóë</t>
  </si>
  <si>
    <t>Äàðõàí-Ýðäýíý á¿ðýí</t>
  </si>
  <si>
    <t>Äàöàíòðåéä</t>
  </si>
  <si>
    <t>Äè Çýò ýíä Àé</t>
  </si>
  <si>
    <t>Äóíàð-Îä</t>
  </si>
  <si>
    <t>Äóí-Ýðäýíý</t>
  </si>
  <si>
    <t>Äýâøèë-Óâñ</t>
  </si>
  <si>
    <t>Æàìï</t>
  </si>
  <si>
    <t>Æèíõóà îðä</t>
  </si>
  <si>
    <t>ÆÌÝ</t>
  </si>
  <si>
    <t>Æóíçýíü</t>
  </si>
  <si>
    <t>Çîîñãîóëä</t>
  </si>
  <si>
    <t>Ç¿ðèéí áóëàí</t>
  </si>
  <si>
    <t>Èäýðõàéðõàí</t>
  </si>
  <si>
    <t>Èë÷èò ìåòàëë</t>
  </si>
  <si>
    <t>Èõ ºâºëæºº</t>
  </si>
  <si>
    <t>Èõ õàí óóë</t>
  </si>
  <si>
    <t>Êàéíàðâîëüôðàì</t>
  </si>
  <si>
    <t>Êåíæå</t>
  </si>
  <si>
    <t>Êîóëäãîëä ìîíãîë</t>
  </si>
  <si>
    <t>ÌÁÃÖ</t>
  </si>
  <si>
    <t>ÌÅÑ</t>
  </si>
  <si>
    <t>Ìèíäóîòàéäè</t>
  </si>
  <si>
    <t>Ìèðàèôëþîðèä</t>
  </si>
  <si>
    <t>Ìîãîéí ãîë</t>
  </si>
  <si>
    <t>Ìîí-Àæíàé</t>
  </si>
  <si>
    <t>Ìîíâîëüôðàì</t>
  </si>
  <si>
    <t>Ìîíãîë êåðàìèê</t>
  </si>
  <si>
    <t>Ìîíãîë-Àëò</t>
  </si>
  <si>
    <t>Ìîíãîëáîëãàðãåî</t>
  </si>
  <si>
    <t>Ìîíãîë ãàçàð</t>
  </si>
  <si>
    <t>Ìîíãîëðîñ-öâåòìåò</t>
  </si>
  <si>
    <t>Ìîíãîë öàìõàã</t>
  </si>
  <si>
    <t>Ìîíãîë ÷åõ ìåòàëë</t>
  </si>
  <si>
    <t>Ìîíãîëûí Àëò ìàê</t>
  </si>
  <si>
    <t>Ìîíãîëûí ãýãýý</t>
  </si>
  <si>
    <t>Ìîíïîëèìåò</t>
  </si>
  <si>
    <t>Ìîíðîñïðîì óãîëü</t>
  </si>
  <si>
    <t>Ìîíòðèóìô</t>
  </si>
  <si>
    <t>Ìîðüòõàíãàé</t>
  </si>
  <si>
    <t>Ìºíõëóó</t>
  </si>
  <si>
    <t>Íàéíãè</t>
  </si>
  <si>
    <t>Íî¸í òîõîé òðåéä</t>
  </si>
  <si>
    <t>Íîðäâèíä</t>
  </si>
  <si>
    <t>Îðäòðåéä</t>
  </si>
  <si>
    <t>ªðìºí-Óóë</t>
  </si>
  <si>
    <t>ªñºí</t>
  </si>
  <si>
    <t>Ïàóðëýíä</t>
  </si>
  <si>
    <t>Ðè÷ìºíõ</t>
  </si>
  <si>
    <t>Ñàðòàõ</t>
  </si>
  <si>
    <t>Ñîíîðòðåéä</t>
  </si>
  <si>
    <t>Ñèäñî</t>
  </si>
  <si>
    <t>Сонсголог бармат</t>
  </si>
  <si>
    <t>СС монголия</t>
  </si>
  <si>
    <t>С¿éõýíò</t>
  </si>
  <si>
    <t>Òàë áóëàã òðåéä</t>
  </si>
  <si>
    <t>Òîä óíäàðãà</t>
  </si>
  <si>
    <t>Òîëãîéòûí ãîë</t>
  </si>
  <si>
    <t>Òºâ àçèéí óðàí</t>
  </si>
  <si>
    <t>Òºñºë÷</t>
  </si>
  <si>
    <t>Ò¿ìýí-Àíä</t>
  </si>
  <si>
    <t>Òóí Ñèíü</t>
  </si>
  <si>
    <t>Òýâøèéí ãîâü</t>
  </si>
  <si>
    <t>Òýãøõàí</t>
  </si>
  <si>
    <t>Òýí Õóí</t>
  </si>
  <si>
    <t>Òýí¿¿í áàéãàëü</t>
  </si>
  <si>
    <t>Óëààííà÷èí</t>
  </si>
  <si>
    <t>Óëç ãîë</t>
  </si>
  <si>
    <t>¯íýò ìåòàëë</t>
  </si>
  <si>
    <t>Óóëñ çààìàð</t>
  </si>
  <si>
    <t>¯¿ðò ãîóëä</t>
  </si>
  <si>
    <t>Õààíãàðäè</t>
  </si>
  <si>
    <t>Õàí øèæèð</t>
  </si>
  <si>
    <t>Õàíõàñ òðåéä</t>
  </si>
  <si>
    <t>Õîðãûí ÷óëóó</t>
  </si>
  <si>
    <t>Õîðèõ 443-ð àíãè</t>
  </si>
  <si>
    <t>Õîòãîð</t>
  </si>
  <si>
    <t>Õîòîë äýãæèõ</t>
  </si>
  <si>
    <t>Õóà Ëÿí</t>
  </si>
  <si>
    <t>Õ¿äýð-Ýðäýíý</t>
  </si>
  <si>
    <t>Õóíàí</t>
  </si>
  <si>
    <t>Õóíàíæèíëýí</t>
  </si>
  <si>
    <t>Õóðàé</t>
  </si>
  <si>
    <t>Õ¿ñëýìæ</t>
  </si>
  <si>
    <t>Öàéðòìèíåðàë</t>
  </si>
  <si>
    <t>ÖÄÖ</t>
  </si>
  <si>
    <t>Öåìåíò øîõîé</t>
  </si>
  <si>
    <t>Öîãò-Îíîí</t>
  </si>
  <si>
    <t>Öýâäýã</t>
  </si>
  <si>
    <t>×àéëäñàí</t>
  </si>
  <si>
    <t>×èíãýëáººí öàãààí</t>
  </si>
  <si>
    <t>×óëóóò èíòåðíýøíë</t>
  </si>
  <si>
    <t>Øàãàé</t>
  </si>
  <si>
    <t>Øàíëóí</t>
  </si>
  <si>
    <t>Øàð íàðñò</t>
  </si>
  <si>
    <t>Øàðûí ãîë</t>
  </si>
  <si>
    <t>Øèäýò-Îä</t>
  </si>
  <si>
    <t>Øèæèð-Àëò</t>
  </si>
  <si>
    <t>Øèæèð òàëñò</t>
  </si>
  <si>
    <t>Øèíü Øèíü</t>
  </si>
  <si>
    <t>ØÒÍ</t>
  </si>
  <si>
    <t>Ýæ-Ýðäýíý</t>
  </si>
  <si>
    <t>Ýëòðàíà</t>
  </si>
  <si>
    <t>Ýíã¿éòàë</t>
  </si>
  <si>
    <t>Ýðâýí õ¿äýð</t>
  </si>
  <si>
    <t>Ýðäýñ-Óâñ</t>
  </si>
  <si>
    <t>Ýðäýñ õîëäèíã</t>
  </si>
  <si>
    <t>Ýð÷èì Èìïåêñ</t>
  </si>
  <si>
    <t>Ýðýë</t>
  </si>
  <si>
    <t>Ýõèéí ñýòãýë</t>
  </si>
  <si>
    <t>Þ ýíä Áè</t>
  </si>
  <si>
    <t>ßëãóóí èíòåðíýøíë</t>
  </si>
  <si>
    <t>Õèëèéí öýðãèéí 0119-ð àíãè</t>
  </si>
  <si>
    <t>Áàÿíãîë</t>
  </si>
  <si>
    <t>×èíãýëòýé</t>
  </si>
  <si>
    <t>Ñ¿õáààòàð ä¿¿ðýã</t>
  </si>
  <si>
    <t>Õîâä</t>
  </si>
  <si>
    <t xml:space="preserve">Áàÿíç¿ðõ </t>
  </si>
  <si>
    <t>Ñîíãèíîõàéðõàí</t>
  </si>
  <si>
    <t>ÓÒÎÕÃ</t>
  </si>
  <si>
    <t>Õýíòèé</t>
  </si>
  <si>
    <t>Áàÿíç¿ðõ</t>
  </si>
  <si>
    <t>Àëòàí øàãàé</t>
  </si>
  <si>
    <t>Àëòàíäîðíîä ìîíãîë</t>
  </si>
  <si>
    <t>Íèéñëýëèéí òàòâàðûí ãàçàð</t>
  </si>
  <si>
    <t>Äîðíîãîâü</t>
  </si>
  <si>
    <t>ªâºðõàíãàé</t>
  </si>
  <si>
    <t>Äàðõàí</t>
  </si>
  <si>
    <t>Äàðõàí-Óóë</t>
  </si>
  <si>
    <t>Íàëàéõ</t>
  </si>
  <si>
    <t>Äîðíîä</t>
  </si>
  <si>
    <t>Óâñ</t>
  </si>
  <si>
    <t>Õàí-Óóë</t>
  </si>
  <si>
    <t>Áàÿí-ªëãèé</t>
  </si>
  <si>
    <t>Õºâñãºë</t>
  </si>
  <si>
    <t>Òºâ</t>
  </si>
  <si>
    <t>Ñîíãèíëõàéðõàí</t>
  </si>
  <si>
    <t>Õîðøîî</t>
  </si>
  <si>
    <t>Ñýëýíãý</t>
  </si>
  <si>
    <t>Äóíäãîâü</t>
  </si>
  <si>
    <t>Îðõîí</t>
  </si>
  <si>
    <t>Òª¯Ã</t>
  </si>
  <si>
    <t>Áàéãàëü õàìãààëàõ àðãà õýìæýýíä çàðöóóëñàí çàðäàë</t>
  </si>
  <si>
    <t>1¸.Áàéãàëü õàìãààëàõ ¿éë àæèëëàãààíä çàðöóóëñàí çàðäàë</t>
  </si>
  <si>
    <t>Áàéãàëü õàìãààëàõ çàðäëûí 50 õóâèéã òóñãàé äàíñàíä òºâëºð¿¿ëñàí áàéäàë</t>
  </si>
  <si>
    <t>Ñêàðí</t>
  </si>
  <si>
    <t>Ãýðýëò-Îðä</t>
  </si>
  <si>
    <t>ØØГÅÃ-ûí 439-ð àíãè</t>
  </si>
  <si>
    <t>Áàÿíõîíãîð</t>
  </si>
  <si>
    <t>Ïåòðî÷àéíà äà÷èí òàìñàã</t>
  </si>
  <si>
    <t>Ýðäìèí</t>
  </si>
  <si>
    <t>Øèì òåõíîëîãè</t>
  </si>
  <si>
    <t>Àäóóí÷óëóóí</t>
  </si>
  <si>
    <t>Á¿¿ðãýíò</t>
  </si>
  <si>
    <t>Øèâýý-Îâîî</t>
  </si>
  <si>
    <t>Ýðõýñ ìàéíèíã</t>
  </si>
  <si>
    <t>Êåé Àð</t>
  </si>
  <si>
    <t>Òåôèñ ìàéíèíã</t>
  </si>
  <si>
    <t>Àíèàí ðåñîðèç</t>
  </si>
  <si>
    <t>Ïåòðî ìàòàä</t>
  </si>
  <si>
    <t>Äîíøåí ãàçðûí òîñ</t>
  </si>
  <si>
    <t>Ãîâüñ¿ìáýð</t>
  </si>
  <si>
    <t>ÍÒÃ</t>
  </si>
  <si>
    <t>×èíõóà ìàê íàðèéí ñóõàéò</t>
  </si>
  <si>
    <t>Òàâàí ø¿òýýí трейд</t>
  </si>
  <si>
    <t>Булган</t>
  </si>
  <si>
    <t>Агит хангай</t>
  </si>
  <si>
    <t>Адил оч</t>
  </si>
  <si>
    <t>Дундговь</t>
  </si>
  <si>
    <t>Алмаз групп</t>
  </si>
  <si>
    <t>УТОХГ</t>
  </si>
  <si>
    <t>Алтай хангай бүрд</t>
  </si>
  <si>
    <t>Алтайн хүдэр</t>
  </si>
  <si>
    <t>Баянзүрх</t>
  </si>
  <si>
    <t>Алх чулуу</t>
  </si>
  <si>
    <t>Сэлэнгэ</t>
  </si>
  <si>
    <t>Анир Эрдэнэс</t>
  </si>
  <si>
    <t>Баянгол</t>
  </si>
  <si>
    <t>Арвин Од</t>
  </si>
  <si>
    <t>Дархан-Уул</t>
  </si>
  <si>
    <t>Арвин хур</t>
  </si>
  <si>
    <t>Арева Монгол</t>
  </si>
  <si>
    <t>Сүхбаатар дүүрэг</t>
  </si>
  <si>
    <t>АФК тавт</t>
  </si>
  <si>
    <t>Бэрэн групп</t>
  </si>
  <si>
    <t>Архангай</t>
  </si>
  <si>
    <t>Вестерн проспестор Монголия</t>
  </si>
  <si>
    <t>Гаррисон Азиа</t>
  </si>
  <si>
    <t>Сүхбаатар</t>
  </si>
  <si>
    <t>ГБМБ</t>
  </si>
  <si>
    <t>Чингэлтэй</t>
  </si>
  <si>
    <t>Багатаян</t>
  </si>
  <si>
    <t>Бадамлах очир</t>
  </si>
  <si>
    <t>Баялаг жонш</t>
  </si>
  <si>
    <t>Баян айраг эксплорейшн</t>
  </si>
  <si>
    <t>Баян эрч</t>
  </si>
  <si>
    <t>Баярсгоулд</t>
  </si>
  <si>
    <t>Булгангангат</t>
  </si>
  <si>
    <t>Бумбат</t>
  </si>
  <si>
    <t>Геогоулд</t>
  </si>
  <si>
    <t>Гео-Эрэл</t>
  </si>
  <si>
    <t>Голденвилл</t>
  </si>
  <si>
    <t>Голденорд Майнинг</t>
  </si>
  <si>
    <t>Гоулд -лэнд</t>
  </si>
  <si>
    <t>Гүнбилэг гоулд</t>
  </si>
  <si>
    <t>Төв</t>
  </si>
  <si>
    <t>Гурвангол холдинг</t>
  </si>
  <si>
    <t>Нийслэл</t>
  </si>
  <si>
    <t>Гурван эвтэн</t>
  </si>
  <si>
    <t>Гэрэлт гурван од</t>
  </si>
  <si>
    <t>Сонгинохайрхан</t>
  </si>
  <si>
    <t>Дадиганцай</t>
  </si>
  <si>
    <t>Дархан Борхужир</t>
  </si>
  <si>
    <t>Их алт консалтинг</t>
  </si>
  <si>
    <t>Их ачмаг</t>
  </si>
  <si>
    <t>Ихногоон нуур</t>
  </si>
  <si>
    <t>Өвөрхангай</t>
  </si>
  <si>
    <t>Их монгол шувуу</t>
  </si>
  <si>
    <t>Их тохойрол</t>
  </si>
  <si>
    <t>ИХ хөвчийн жонон</t>
  </si>
  <si>
    <t>Капитал авто сервис</t>
  </si>
  <si>
    <t>Кёкүшю монгол холдинг</t>
  </si>
  <si>
    <t>Коммод</t>
  </si>
  <si>
    <t>Кормон майн хаус</t>
  </si>
  <si>
    <t>Хан-Уул</t>
  </si>
  <si>
    <t>Лучеро</t>
  </si>
  <si>
    <t>Майн энд Филд Кореа</t>
  </si>
  <si>
    <t>Дорноговь</t>
  </si>
  <si>
    <t>МАК</t>
  </si>
  <si>
    <t>Баянхонгор</t>
  </si>
  <si>
    <t>Мегапласт Монголия</t>
  </si>
  <si>
    <t>Минерөл ресурс</t>
  </si>
  <si>
    <t>Мон-Элс</t>
  </si>
  <si>
    <t>Ноён гари</t>
  </si>
  <si>
    <t>Нун</t>
  </si>
  <si>
    <t>Ньюхаппи</t>
  </si>
  <si>
    <t>ОАЭ</t>
  </si>
  <si>
    <t>Одод</t>
  </si>
  <si>
    <t>Олова</t>
  </si>
  <si>
    <t>Олон овоот гоулд</t>
  </si>
  <si>
    <t>Ордос трейд</t>
  </si>
  <si>
    <t>Очир-Ундраа</t>
  </si>
  <si>
    <t>Пенинсула майнинг</t>
  </si>
  <si>
    <t>Петро коул</t>
  </si>
  <si>
    <t>Полиметмонголд</t>
  </si>
  <si>
    <t>Рео</t>
  </si>
  <si>
    <t>Рич Могол</t>
  </si>
  <si>
    <t>Трэйжо Маунтайн</t>
  </si>
  <si>
    <t>Түвшингарав</t>
  </si>
  <si>
    <t>Тунамал шижир</t>
  </si>
  <si>
    <t>Түшиг индустраль</t>
  </si>
  <si>
    <t>Урт хошуу</t>
  </si>
  <si>
    <t>Уулс ноён</t>
  </si>
  <si>
    <t>Уулын эх</t>
  </si>
  <si>
    <t>Уянган</t>
  </si>
  <si>
    <t>Флинк Монголия</t>
  </si>
  <si>
    <t>Хамар зам</t>
  </si>
  <si>
    <t>Хан ресорсиз</t>
  </si>
  <si>
    <t>Хана гоулд энд жем Монголиа</t>
  </si>
  <si>
    <t>Чамин алт</t>
  </si>
  <si>
    <t>Чинтөгс</t>
  </si>
  <si>
    <t>Шандундрага</t>
  </si>
  <si>
    <t>Шанши Межо</t>
  </si>
  <si>
    <t>Шарын гол энержи</t>
  </si>
  <si>
    <t>Шиндакуанле</t>
  </si>
  <si>
    <t>Шиндунфан</t>
  </si>
  <si>
    <t>Шинэ-Эрдэс</t>
  </si>
  <si>
    <t>Шинэмонзүяань</t>
  </si>
  <si>
    <t>Ширээгийн шугуй</t>
  </si>
  <si>
    <t>Шохой цагаан булаг</t>
  </si>
  <si>
    <t>Эй Кей Эм Юу</t>
  </si>
  <si>
    <t>Эй Би Ди И</t>
  </si>
  <si>
    <t>Баялаг богд</t>
  </si>
  <si>
    <t>Баянтээл</t>
  </si>
  <si>
    <t>Билүүт майнинг</t>
  </si>
  <si>
    <t>Бөхөг хөрс</t>
  </si>
  <si>
    <t>Брэйвхарт ресорсиз</t>
  </si>
  <si>
    <t>Булуу цагаан хайрхан</t>
  </si>
  <si>
    <t>Ди Жи Эм</t>
  </si>
  <si>
    <t>Дөрвөн тал</t>
  </si>
  <si>
    <t>Дриймлэнд</t>
  </si>
  <si>
    <t>Жи Жи Эс Эс</t>
  </si>
  <si>
    <t>Жи Би Лийз</t>
  </si>
  <si>
    <t>Дэлгэрхангай трейд</t>
  </si>
  <si>
    <t>ЖИЭМ</t>
  </si>
  <si>
    <t>Жотойн базнууна</t>
  </si>
  <si>
    <t>Зулмөнх бадмаараг</t>
  </si>
  <si>
    <t>Зүб гол</t>
  </si>
  <si>
    <t>Золотой Виктория</t>
  </si>
  <si>
    <t>Заамарын их алт</t>
  </si>
  <si>
    <t>Зуунмод уул</t>
  </si>
  <si>
    <t>Илтгоулд</t>
  </si>
  <si>
    <t>Монгол анар трейд</t>
  </si>
  <si>
    <t>Монголметал майнинг</t>
  </si>
  <si>
    <t>Монголруд пром</t>
  </si>
  <si>
    <t>Монгортех</t>
  </si>
  <si>
    <t>Монпож интернейшнл</t>
  </si>
  <si>
    <t>Монсиб Алт</t>
  </si>
  <si>
    <t>Монсас Интернейшнл</t>
  </si>
  <si>
    <t>Монлид трейд</t>
  </si>
  <si>
    <t>Монжин далай</t>
  </si>
  <si>
    <t>Мөнхмайнинг</t>
  </si>
  <si>
    <t>Мөнхсаяан</t>
  </si>
  <si>
    <t>ИЧметал</t>
  </si>
  <si>
    <t>Мэнякуание</t>
  </si>
  <si>
    <t>Найнгоулд интернейшнл</t>
  </si>
  <si>
    <t>Соломон ресурсез</t>
  </si>
  <si>
    <t>Сити сүлжээ</t>
  </si>
  <si>
    <t>Си Ар Ар</t>
  </si>
  <si>
    <t>Сентерра гоулд</t>
  </si>
  <si>
    <t>Саусгоби сэндс</t>
  </si>
  <si>
    <t>Сантгэсэр</t>
  </si>
  <si>
    <t>Сань хаан</t>
  </si>
  <si>
    <t>Санаажигүүр</t>
  </si>
  <si>
    <t>Хасуу</t>
  </si>
  <si>
    <t>Хар тарвагатай</t>
  </si>
  <si>
    <t>Ти энд Ти Юникс</t>
  </si>
  <si>
    <t>Тахир гол</t>
  </si>
  <si>
    <t>Таван хангал трейд</t>
  </si>
  <si>
    <t>Т энд Ч</t>
  </si>
  <si>
    <t>Сэншивэе</t>
  </si>
  <si>
    <t>Стерх</t>
  </si>
  <si>
    <t>Спейшл майнз</t>
  </si>
  <si>
    <t>Хүрзэт</t>
  </si>
  <si>
    <t>Хүрд</t>
  </si>
  <si>
    <t>Хөх хархираа</t>
  </si>
  <si>
    <t>Хөх дэл инвест</t>
  </si>
  <si>
    <t>Хотгор шанага</t>
  </si>
  <si>
    <t>Хос хас</t>
  </si>
  <si>
    <t>Хонгорын орд</t>
  </si>
  <si>
    <t>Хишиг оргилуун</t>
  </si>
  <si>
    <t>Хатанцацал</t>
  </si>
  <si>
    <t>Эмээлт майнз</t>
  </si>
  <si>
    <t>Эм Энд Даймонд</t>
  </si>
  <si>
    <t>Эм Жи Эйч</t>
  </si>
  <si>
    <t>Цэнэговь</t>
  </si>
  <si>
    <t>Цозгор</t>
  </si>
  <si>
    <t>Цагаанташаа</t>
  </si>
  <si>
    <t>Хэрлэн Импекс</t>
  </si>
  <si>
    <t>Хэнсүл</t>
  </si>
  <si>
    <t>Хэмчигголд</t>
  </si>
  <si>
    <t>Эрдэс налайх</t>
  </si>
  <si>
    <t>Эрдэнэс майнинг</t>
  </si>
  <si>
    <t>Эрдэнэлинк</t>
  </si>
  <si>
    <t>Эрдэнэмонгол</t>
  </si>
  <si>
    <t>Эрдэнэдорно</t>
  </si>
  <si>
    <t>Эрдэнэ энержи</t>
  </si>
  <si>
    <t>Эрдэнийн хөгжил</t>
  </si>
  <si>
    <t>Эргэмэг</t>
  </si>
  <si>
    <t>Энержи ресурс</t>
  </si>
  <si>
    <t>Эрэлчин</t>
  </si>
  <si>
    <t>Ялумба</t>
  </si>
  <si>
    <t>Эс Би Эф</t>
  </si>
  <si>
    <t>Налайх</t>
  </si>
  <si>
    <t>Багануур</t>
  </si>
  <si>
    <t>Дорнод</t>
  </si>
  <si>
    <t>Говьсүмбэр</t>
  </si>
  <si>
    <t>Өмнөговь</t>
  </si>
  <si>
    <t>Дархан</t>
  </si>
  <si>
    <t xml:space="preserve">Увс </t>
  </si>
  <si>
    <t>Очирууд</t>
  </si>
  <si>
    <t>МОЭНКО</t>
  </si>
  <si>
    <t xml:space="preserve">Алтдын гол </t>
  </si>
  <si>
    <t>Буркит корпораци</t>
  </si>
  <si>
    <t>Тавантолгой</t>
  </si>
  <si>
    <t>.</t>
  </si>
  <si>
    <t>Èäýðìîíãîë</t>
  </si>
  <si>
    <t>15715685$</t>
  </si>
  <si>
    <t xml:space="preserve">Дор дурьдсанаас бусад тохиолдолд тайлангийн заавар ёсоор Тайлангийн маягтыг үнэн зөв гаргаснаа бид хариуцахаа мэдэгдэж байна:  </t>
  </si>
  <si>
    <t>...</t>
  </si>
  <si>
    <t xml:space="preserve">         Тайлан гаргасан:</t>
  </si>
  <si>
    <t xml:space="preserve">                Сангийн яам</t>
  </si>
  <si>
    <t>Д.Баттөр/......................../</t>
  </si>
  <si>
    <t>Г.Зулай /....................../</t>
  </si>
  <si>
    <t xml:space="preserve">          Төрийн нарийн бичгийн дарга</t>
  </si>
  <si>
    <t xml:space="preserve">        хариуцсан мэргэжилтэн</t>
  </si>
  <si>
    <t>2010 оны ...дугаар сарын ...-ны өдөр</t>
  </si>
  <si>
    <t xml:space="preserve">Дор дурьдсанаас бусад тохиолдолд тайлангийн заавар ёсоор Тайлангийн маягтыг үнэн зөв </t>
  </si>
  <si>
    <t>гаргаснаа бид хаиуцахаа мэдэгдэж байна:</t>
  </si>
  <si>
    <t xml:space="preserve">                                                                                        Хянасан:</t>
  </si>
  <si>
    <t xml:space="preserve">                                                                   /Төрийн нарийн бичгийн дарга/</t>
  </si>
  <si>
    <t xml:space="preserve">Тайланг хянасан:           Сангийн яам          НБББГ-ын дарга             </t>
  </si>
  <si>
    <t xml:space="preserve">                                  НЭГДСЭН ТАЙЛАН </t>
  </si>
  <si>
    <t xml:space="preserve">                      Хамрах хүрээ 1. Ашиг орлогын урсгал</t>
  </si>
  <si>
    <r>
      <t xml:space="preserve">Õàìðàõ õ¿ðýý 2. Àøèã îðëîãûí óðñãàë  </t>
    </r>
    <r>
      <rPr>
        <sz val="11"/>
        <rFont val="Arial Mon"/>
        <family val="2"/>
      </rPr>
      <t>/Ñàéí äóðûí òàéëàí/</t>
    </r>
  </si>
  <si>
    <t xml:space="preserve">                                                                                    Д.БАТТӨР</t>
  </si>
  <si>
    <t xml:space="preserve">                                                                       ........................................</t>
  </si>
  <si>
    <t xml:space="preserve">Тайланг гаргасан:       Сангийн яам           НБББГ-ын мэргэжилтэн           </t>
  </si>
  <si>
    <t>С.Мягмардаш / ...................../</t>
  </si>
  <si>
    <t>Г.Зулай /........................../</t>
  </si>
  <si>
    <t xml:space="preserve">                                                                                                             /гарын үсэг/</t>
  </si>
  <si>
    <t>Îëáîðëîõ ¿éëäâýðëýë ýðõýëæ áàéãàà аж ахуй нэгжээс óëñûí áîëîí îðîí</t>
  </si>
  <si>
    <t xml:space="preserve"> íóòãèéí òºñºâò  òºëсºí àëáàí òàòâàð, òºëáºð болон бусад зардлын  2009 îíû </t>
  </si>
  <si>
    <t xml:space="preserve">                                             /байгууллагын нэр/                        /албан тушаал/                               /нэр, гарын үсэг/</t>
  </si>
  <si>
    <t xml:space="preserve">                                         /байгууллагын нэр/                          /албан тушаал/                                  /нэр, гарын үсэг/</t>
  </si>
  <si>
    <t xml:space="preserve">             / мян.төг/</t>
  </si>
  <si>
    <t xml:space="preserve">                                   Дор дурьдсанаас бусад тохиолдолд тайлангийн заавар ёсоор Тайлангийн маягтыг үнэн зөв гаргаснаа бид хариуцахаа мэдэгдэж байна:  </t>
  </si>
  <si>
    <t>.....</t>
  </si>
  <si>
    <t>Олборлох үйлдвэрлэл эрхэлж байгаа компаниас улсын болон орон</t>
  </si>
  <si>
    <t xml:space="preserve"> нутгийн төсөвт  төлсөн албан татвар, төлбөрийн 2009 оны ТАЙЛАН</t>
  </si>
  <si>
    <t>/ мянгачилсан /</t>
  </si>
  <si>
    <t>Дэс дугаар</t>
  </si>
  <si>
    <t>Регистр</t>
  </si>
  <si>
    <t>Аж ахуйн нэгжийн нэр</t>
  </si>
  <si>
    <t>Татварын алба</t>
  </si>
  <si>
    <t>Хариуцлагын хэлбэр</t>
  </si>
  <si>
    <t>1. Компаниас улсын болон орон нутгийн төсөвт төлсөн татвар, төлбөр</t>
  </si>
  <si>
    <t>Зааврын холбогдох хэсэг №</t>
  </si>
  <si>
    <t>Нийт татвар, төлбөрийн хэмжээ, мян.төг</t>
  </si>
  <si>
    <t>1а. Төлсөн татварууд</t>
  </si>
  <si>
    <t xml:space="preserve">Аж ахуйн нэгжийн орлогын албан татвар </t>
  </si>
  <si>
    <t xml:space="preserve">Гаалийн албан татвар              </t>
  </si>
  <si>
    <t>Зарим бүтээгдэхүүний үнийн өсөлтийн албан татвар</t>
  </si>
  <si>
    <t xml:space="preserve">Үл хөдлөх хөрөнгийн албан татвар              </t>
  </si>
  <si>
    <t>Онцгой албан татвар (шатах тослох материал импортолсон бол)</t>
  </si>
  <si>
    <t xml:space="preserve">Автобензин, дизелийн түлшний албан татвар </t>
  </si>
  <si>
    <t>Автотээвэр, өөрөө явагч хэрэгслийн албан татвар</t>
  </si>
  <si>
    <t>Бусад татвар мөнгөн дүнгээр</t>
  </si>
  <si>
    <t>1б. Төлбөр</t>
  </si>
  <si>
    <t>Ашигт малтмалын нөөц ашигласны төлбөр</t>
  </si>
  <si>
    <t xml:space="preserve">Ашигт малтмалын ашиглалтын болон хайгуулын тусгай зөвшөөрлийн төлбөр              </t>
  </si>
  <si>
    <t xml:space="preserve">Ашигт малтмалын ашиглалтын болон хайгуулын тусгай зөвшөөрлийн төлбөр  /доллар/           </t>
  </si>
  <si>
    <t>Улсын төсвийн хөрөнгөөр хайгуул хийсэн ордын нөхөн төлбөр</t>
  </si>
  <si>
    <t>Газрын төлбөр</t>
  </si>
  <si>
    <t>Ус, рашаан ашигласны төлбөр</t>
  </si>
  <si>
    <t>Ойгоос хэрэглээний мод, түлээ бэлтгэж ашигласны төлбөр</t>
  </si>
  <si>
    <t>Гадаадын мэргэжилтэн, ажилчны ажлын байрны төлбөр</t>
  </si>
  <si>
    <t>Түгээмэл тархацтай ашигт малтмалын нөөц ашигласны төлбөр</t>
  </si>
  <si>
    <t>Бусад/доллар/</t>
  </si>
  <si>
    <t>1в. Хураамж, үйлчилгээний хөлс</t>
  </si>
  <si>
    <t>Зохих хууль тогтоомжийн дагуу төв, орон нутгийн төрийн захиргааны байгууллагад төлсөн улсын тэмдэгтийн хураамж, бусад хураамж</t>
  </si>
  <si>
    <t>Зохих хууль тогтоомжийн дагуу төв, орон нутгийн төрийн захиргааны байгууллагад төлсөн үйлчилгээний хөлс</t>
  </si>
  <si>
    <t>Гаалийн үйлчилгээний хураамж</t>
  </si>
  <si>
    <t>1г. Төрийн болон орон нутгийн өмчийн ногдол ашиг</t>
  </si>
  <si>
    <t>Төрийн өмчийн ногдол ашиг</t>
  </si>
  <si>
    <t>Орон нутгийн өмчийн ногдол ашиг</t>
  </si>
  <si>
    <t>1д. Хүлээн авагч Засгийн газарт төлсөн бусад төлбөрүүд</t>
  </si>
  <si>
    <t>Бүтээгдэхүүн хуваах гэрээ бүхий  аж ахуйн нэгжийн Засгийн газарт ногдох бүтээгдэхүүний оронд төлсөн төлбөр /доллар/</t>
  </si>
  <si>
    <t>Бусад</t>
  </si>
  <si>
    <t>1е. Төрийн  байгууллагад үзүүлсэн дэмжлэг</t>
  </si>
  <si>
    <t>ААН-ээс яам, агентлаг үзүүлсэн мөнгөн дэмжлэг</t>
  </si>
  <si>
    <t>ААН-ээс аймагт үзүүлсэн мөнгөн дэмжлэг</t>
  </si>
  <si>
    <t>ААН-ээс суманд үзүүлсэн мөнгөн дэмжлэг</t>
  </si>
  <si>
    <t>ААН-ээс орон нутгийн байгуулагад үзүүлсэн мөнгөн дэмжлэг</t>
  </si>
  <si>
    <t>ААН-ээс орон нутгийн харилцаа, тогтвортой хөгжилд зарцуулсан хөрөнгө</t>
  </si>
  <si>
    <t>1ё.Байгаль хамгаалах үйл ажиллагаанд зарцуулсан зардал</t>
  </si>
  <si>
    <t>Байгаль хамгаалах зардлын 50 хувийг тусгай дансанд төвлөрүүлсан байдал</t>
  </si>
  <si>
    <t>Байгаль хамгаалах арга хэмжээнд зарцуулсан зардал</t>
  </si>
  <si>
    <r>
      <t xml:space="preserve">Хамрах хүрээ 2. Ашиг орлогын урсгал  </t>
    </r>
    <r>
      <rPr>
        <sz val="8"/>
        <rFont val="Arial"/>
        <family val="2"/>
      </rPr>
      <t>/Сайн дурын тайлан/</t>
    </r>
  </si>
  <si>
    <t xml:space="preserve">2. Ашиг, орлогын гүйлгээнүүд </t>
  </si>
  <si>
    <t>Гэрээ, тодорхой нөхцлөөр хөнгөлсөн, чөлөөлсөн татварын дүн</t>
  </si>
  <si>
    <t>Өүякөаней</t>
  </si>
  <si>
    <t>Дамбат</t>
  </si>
  <si>
    <t>Жи энд Юу голд</t>
  </si>
  <si>
    <t>Золотоя корона</t>
  </si>
  <si>
    <t>Рэдхилмонголия</t>
  </si>
  <si>
    <t>ОДЦЭ</t>
  </si>
  <si>
    <t>Полоресорсез</t>
  </si>
  <si>
    <t>Хилийн цэргийн 0119-р анги</t>
  </si>
  <si>
    <t>ХОТУ</t>
  </si>
  <si>
    <t>Төгрөг нуурын энержи</t>
  </si>
  <si>
    <t>Тээлийн шонхор</t>
  </si>
  <si>
    <t>Эрдэнэт</t>
  </si>
  <si>
    <t>Эм Жи Би</t>
  </si>
  <si>
    <t>Эх дэлхий шинтай</t>
  </si>
  <si>
    <t>Аврага тосон хэнтий</t>
  </si>
  <si>
    <t>Авдарбаян</t>
  </si>
  <si>
    <t>Адамасмайниниг</t>
  </si>
  <si>
    <t>Ай Эс Ти констракшн</t>
  </si>
  <si>
    <t>Айвенхоу майнз монголия инк</t>
  </si>
  <si>
    <t>Алтайголд</t>
  </si>
  <si>
    <t>Алтан шагай</t>
  </si>
  <si>
    <t>Алтандорнод монгол</t>
  </si>
  <si>
    <t>Алтанхөмрөг инвэст</t>
  </si>
  <si>
    <t>Аниш</t>
  </si>
  <si>
    <t>Анхай интернэшнл</t>
  </si>
  <si>
    <t>Арвин хад</t>
  </si>
  <si>
    <t>Ариун-Өрнөх</t>
  </si>
  <si>
    <t>АУМ</t>
  </si>
  <si>
    <t>АШБ</t>
  </si>
  <si>
    <t>Барилга-Орд</t>
  </si>
  <si>
    <t>Баруун Монголын металл</t>
  </si>
  <si>
    <t>Бат-Адар</t>
  </si>
  <si>
    <t>Бат-Алт төв</t>
  </si>
  <si>
    <t>Баялаг газар</t>
  </si>
  <si>
    <t>Баялаг-Орд</t>
  </si>
  <si>
    <t>Баянтэгш импекс</t>
  </si>
  <si>
    <t>Баянтээг</t>
  </si>
  <si>
    <t>Баян-Эрдэс</t>
  </si>
  <si>
    <t>Би Би энд Эс</t>
  </si>
  <si>
    <t>Болд төмөр ерөө гол</t>
  </si>
  <si>
    <t>Бороогоулд</t>
  </si>
  <si>
    <t>Буд-Инвест</t>
  </si>
  <si>
    <t>Булган-Инвест</t>
  </si>
  <si>
    <t>Бэрлэг майнинг</t>
  </si>
  <si>
    <t>Бэрх-Уул</t>
  </si>
  <si>
    <t>Гацуурт</t>
  </si>
  <si>
    <t>Гоби коул энд энержи</t>
  </si>
  <si>
    <t>Голдентайга</t>
  </si>
  <si>
    <t>Гүнбилэг трейд</t>
  </si>
  <si>
    <t>Гуравт</t>
  </si>
  <si>
    <t>Гурван төхөм</t>
  </si>
  <si>
    <t>Гэрэлт-Орд</t>
  </si>
  <si>
    <t>Дархан-Алтан туул</t>
  </si>
  <si>
    <t>Дархан-Эрдэнэ бүрэн</t>
  </si>
  <si>
    <t>Дацантрейд</t>
  </si>
  <si>
    <t>Ди Зэт энд Ай</t>
  </si>
  <si>
    <t>Дунар-Од</t>
  </si>
  <si>
    <t>Дун-Эрдэнэ</t>
  </si>
  <si>
    <t>Дэвшил-Увс</t>
  </si>
  <si>
    <t>Жамп</t>
  </si>
  <si>
    <t>Жинхуа орд</t>
  </si>
  <si>
    <t>ЖМЭ</t>
  </si>
  <si>
    <t>Ховд</t>
  </si>
  <si>
    <t>Хэнтий</t>
  </si>
  <si>
    <t>Нийслэлийн татварын газар</t>
  </si>
  <si>
    <t>Увс</t>
  </si>
  <si>
    <t>ТӨҮГ</t>
  </si>
  <si>
    <t>Жунзэнь</t>
  </si>
  <si>
    <t>Зоосгоулд</t>
  </si>
  <si>
    <t>Зүрийн булан</t>
  </si>
  <si>
    <t>Идэрхайрхан</t>
  </si>
  <si>
    <t>Илчит металл</t>
  </si>
  <si>
    <t>Их өвөлжөө</t>
  </si>
  <si>
    <t>Их хан уул</t>
  </si>
  <si>
    <t>Кайнарвольфрам</t>
  </si>
  <si>
    <t>Кенже</t>
  </si>
  <si>
    <t>Коулдголд монгол</t>
  </si>
  <si>
    <t>МБГЦ</t>
  </si>
  <si>
    <t>МЕС</t>
  </si>
  <si>
    <t>Миндуотайди</t>
  </si>
  <si>
    <t>Мираифлюорид</t>
  </si>
  <si>
    <t>Могойн гол</t>
  </si>
  <si>
    <t>Мон-Ажнай</t>
  </si>
  <si>
    <t>Монвольфрам</t>
  </si>
  <si>
    <t>Монгол керамик</t>
  </si>
  <si>
    <t>Монгол-Алт</t>
  </si>
  <si>
    <t>Монголболгаргео</t>
  </si>
  <si>
    <t>Монгол газар</t>
  </si>
  <si>
    <t>Монголрос-цветмет</t>
  </si>
  <si>
    <t>Монгол цамхаг</t>
  </si>
  <si>
    <t>Монгол чех металл</t>
  </si>
  <si>
    <t>Монголын Алт мак</t>
  </si>
  <si>
    <t>Монголын гэгээ</t>
  </si>
  <si>
    <t>Мондулаан трейд</t>
  </si>
  <si>
    <t>Монполимет</t>
  </si>
  <si>
    <t>Монроспром уголь</t>
  </si>
  <si>
    <t>Монтриумф</t>
  </si>
  <si>
    <t>Морьтхангай</t>
  </si>
  <si>
    <t>Мөнхлуу</t>
  </si>
  <si>
    <t>Найнги</t>
  </si>
  <si>
    <t>Ноён тохой трейд</t>
  </si>
  <si>
    <t>Нордвинд</t>
  </si>
  <si>
    <t>Ордтрейд</t>
  </si>
  <si>
    <t>Өрмөн-Уул</t>
  </si>
  <si>
    <t>Өсөн</t>
  </si>
  <si>
    <t>Паурлэнд</t>
  </si>
  <si>
    <t>Ричмөнх</t>
  </si>
  <si>
    <t>Сартах</t>
  </si>
  <si>
    <t>Скарн</t>
  </si>
  <si>
    <t>Сонортрейд</t>
  </si>
  <si>
    <t>Сидсо</t>
  </si>
  <si>
    <t>Сүйхэнт</t>
  </si>
  <si>
    <t>Таван шүтээн трейд</t>
  </si>
  <si>
    <t>Тал булаг трейд</t>
  </si>
  <si>
    <t>Тод ундарга</t>
  </si>
  <si>
    <t>Толгойтын гол</t>
  </si>
  <si>
    <t>Төв азийн уран</t>
  </si>
  <si>
    <t>Төсөлч</t>
  </si>
  <si>
    <t>Түмэн-Анд</t>
  </si>
  <si>
    <t>Тун Синь</t>
  </si>
  <si>
    <t>Тэвшийн говь</t>
  </si>
  <si>
    <t>Тэгшхан</t>
  </si>
  <si>
    <t>Тэн Хун</t>
  </si>
  <si>
    <t>Тэнүүн байгаль</t>
  </si>
  <si>
    <t>Улаанначин</t>
  </si>
  <si>
    <t>Баян-Өлгий</t>
  </si>
  <si>
    <t>Хөвсгөл</t>
  </si>
  <si>
    <t xml:space="preserve">Баянзүрх </t>
  </si>
  <si>
    <t>Орхон</t>
  </si>
  <si>
    <t>Сонгинлхайрхан</t>
  </si>
  <si>
    <t>Хоршоо</t>
  </si>
  <si>
    <t>Улз гол</t>
  </si>
  <si>
    <t>Үнэт металл</t>
  </si>
  <si>
    <t>Уулс заамар</t>
  </si>
  <si>
    <t>Үүрт гоулд</t>
  </si>
  <si>
    <t>Хаангарди</t>
  </si>
  <si>
    <t>Хан шижир</t>
  </si>
  <si>
    <t>Ханхас трейд</t>
  </si>
  <si>
    <t>Хоргын чулуу</t>
  </si>
  <si>
    <t>Хорих 443-р анги</t>
  </si>
  <si>
    <t>Хотгор</t>
  </si>
  <si>
    <t>Хотол дэгжих</t>
  </si>
  <si>
    <t>Хуа Лян</t>
  </si>
  <si>
    <t>Хүдэр-Эрдэнэ</t>
  </si>
  <si>
    <t>Хунан</t>
  </si>
  <si>
    <t>Хунанжинлэн</t>
  </si>
  <si>
    <t>Хурай</t>
  </si>
  <si>
    <t>Хүслэмж</t>
  </si>
  <si>
    <t>Цайртминерал</t>
  </si>
  <si>
    <t>ЦДЦ</t>
  </si>
  <si>
    <t>Цемент шохой</t>
  </si>
  <si>
    <t>Цогт-Онон</t>
  </si>
  <si>
    <t>Цэвдэг</t>
  </si>
  <si>
    <t>Чайлдсан</t>
  </si>
  <si>
    <t>Чингэлбөөн цагаан</t>
  </si>
  <si>
    <t>Чулуут интернэшнл</t>
  </si>
  <si>
    <t>Шагай</t>
  </si>
  <si>
    <t>Шанлун</t>
  </si>
  <si>
    <t>Шар нарст</t>
  </si>
  <si>
    <t>Шарын гол</t>
  </si>
  <si>
    <t>Шидэт-Од</t>
  </si>
  <si>
    <t>Шижир-Алт</t>
  </si>
  <si>
    <t>Шижир талст</t>
  </si>
  <si>
    <t>Шинь Шинь</t>
  </si>
  <si>
    <t>ШТН</t>
  </si>
  <si>
    <t>ШШГЕГ-ын 439-р анги</t>
  </si>
  <si>
    <t>Эж-Эрдэнэ</t>
  </si>
  <si>
    <t>Элтрана</t>
  </si>
  <si>
    <t>Энгүйтал</t>
  </si>
  <si>
    <t>Эрвэн хүдэр</t>
  </si>
  <si>
    <t>Эрдэс-Увс</t>
  </si>
  <si>
    <t>Эрдэс холдинг</t>
  </si>
  <si>
    <t>Эрчим Импекс</t>
  </si>
  <si>
    <t>Эрэл</t>
  </si>
  <si>
    <t>Эхийн сэтгэл</t>
  </si>
  <si>
    <t>Ю энд Би</t>
  </si>
  <si>
    <t>Ялгуун интернэшнл</t>
  </si>
  <si>
    <t>Петрочайна дачин тамсаг</t>
  </si>
  <si>
    <t>Эрдмин</t>
  </si>
  <si>
    <t>Чинхуа мак нарийн сухайт</t>
  </si>
  <si>
    <t>Шим технологи</t>
  </si>
  <si>
    <t>Адуунчулуун</t>
  </si>
  <si>
    <t>Бүүргэнт</t>
  </si>
  <si>
    <t>Шивээ-Овоо</t>
  </si>
  <si>
    <t>Эрхэс майнинг</t>
  </si>
  <si>
    <t>Кей Ар</t>
  </si>
  <si>
    <t>Тефис майнинг</t>
  </si>
  <si>
    <t>Аниан ресориз</t>
  </si>
  <si>
    <t>Петро матад</t>
  </si>
  <si>
    <t>Доншен газрын тос</t>
  </si>
  <si>
    <t>НТГ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</si>
</sst>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on"/>
      <family val="2"/>
    </font>
    <font>
      <b/>
      <sz val="10"/>
      <name val="Arial Mon"/>
      <family val="2"/>
    </font>
    <font>
      <sz val="8"/>
      <name val="Arial Mon"/>
      <family val="2"/>
    </font>
    <font>
      <sz val="9"/>
      <name val="Arial Mon"/>
      <family val="2"/>
    </font>
    <font>
      <sz val="11"/>
      <color theme="1"/>
      <name val="Times New Roman"/>
      <family val="1"/>
    </font>
    <font>
      <sz val="9"/>
      <name val="Arial"/>
      <family val="2"/>
    </font>
    <font>
      <sz val="11"/>
      <name val="Arial Mon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 Mon"/>
      <family val="2"/>
    </font>
    <font>
      <b/>
      <sz val="11"/>
      <color indexed="8"/>
      <name val="Arial Mon"/>
      <family val="2"/>
    </font>
    <font>
      <b/>
      <sz val="11"/>
      <color rgb="FFFF0000"/>
      <name val="Arial Mon"/>
      <family val="2"/>
    </font>
    <font>
      <b/>
      <sz val="11"/>
      <color theme="1"/>
      <name val="Arial Mon"/>
      <family val="2"/>
    </font>
    <font>
      <sz val="11"/>
      <color indexed="8"/>
      <name val="Arial Mon"/>
      <family val="2"/>
    </font>
    <font>
      <sz val="11"/>
      <color indexed="10"/>
      <name val="Arial Mon"/>
      <family val="2"/>
    </font>
    <font>
      <sz val="11"/>
      <color theme="1"/>
      <name val="Arial Mon"/>
      <family val="2"/>
    </font>
    <font>
      <sz val="11"/>
      <color rgb="FFFF0000"/>
      <name val="Arial Mon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194">
    <xf numFmtId="0" fontId="0" fillId="0" borderId="0" xfId="0"/>
    <xf numFmtId="164" fontId="5" fillId="0" borderId="0" xfId="1" applyFont="1" applyFill="1" applyAlignment="1">
      <alignment vertical="center"/>
    </xf>
    <xf numFmtId="164" fontId="5" fillId="0" borderId="0" xfId="1" applyFont="1" applyFill="1"/>
    <xf numFmtId="164" fontId="6" fillId="0" borderId="0" xfId="1" applyFont="1" applyFill="1"/>
    <xf numFmtId="1" fontId="5" fillId="0" borderId="0" xfId="1" applyNumberFormat="1" applyFont="1" applyFill="1"/>
    <xf numFmtId="164" fontId="5" fillId="0" borderId="0" xfId="1" applyFont="1" applyFill="1" applyAlignment="1">
      <alignment horizontal="center"/>
    </xf>
    <xf numFmtId="164" fontId="6" fillId="0" borderId="0" xfId="1" applyFont="1" applyFill="1" applyAlignment="1">
      <alignment vertical="center"/>
    </xf>
    <xf numFmtId="164" fontId="8" fillId="0" borderId="0" xfId="1" applyFont="1" applyFill="1"/>
    <xf numFmtId="164" fontId="9" fillId="0" borderId="0" xfId="2" applyNumberFormat="1" applyFont="1" applyFill="1"/>
    <xf numFmtId="164" fontId="9" fillId="0" borderId="0" xfId="4" applyNumberFormat="1" applyFont="1" applyFill="1"/>
    <xf numFmtId="164" fontId="9" fillId="0" borderId="0" xfId="3" applyNumberFormat="1" applyFont="1" applyFill="1"/>
    <xf numFmtId="165" fontId="7" fillId="0" borderId="0" xfId="1" applyNumberFormat="1" applyFont="1" applyFill="1"/>
    <xf numFmtId="165" fontId="5" fillId="0" borderId="0" xfId="1" applyNumberFormat="1" applyFont="1" applyFill="1"/>
    <xf numFmtId="164" fontId="10" fillId="0" borderId="0" xfId="1" applyFont="1" applyFill="1"/>
    <xf numFmtId="164" fontId="11" fillId="0" borderId="0" xfId="1" applyFont="1" applyFill="1"/>
    <xf numFmtId="165" fontId="12" fillId="0" borderId="0" xfId="1" applyNumberFormat="1" applyFont="1" applyFill="1"/>
    <xf numFmtId="165" fontId="13" fillId="0" borderId="0" xfId="1" applyNumberFormat="1" applyFont="1" applyFill="1"/>
    <xf numFmtId="165" fontId="14" fillId="0" borderId="0" xfId="1" applyNumberFormat="1" applyFont="1" applyFill="1"/>
    <xf numFmtId="165" fontId="4" fillId="0" borderId="0" xfId="1" applyNumberFormat="1" applyFont="1" applyFill="1"/>
    <xf numFmtId="0" fontId="4" fillId="0" borderId="0" xfId="0" applyFont="1"/>
    <xf numFmtId="0" fontId="14" fillId="0" borderId="0" xfId="0" applyFont="1"/>
    <xf numFmtId="0" fontId="15" fillId="0" borderId="0" xfId="0" applyFont="1"/>
    <xf numFmtId="164" fontId="16" fillId="0" borderId="0" xfId="1" applyFont="1" applyFill="1" applyAlignment="1">
      <alignment vertical="center"/>
    </xf>
    <xf numFmtId="164" fontId="11" fillId="0" borderId="0" xfId="1" applyFont="1" applyFill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6" fontId="16" fillId="0" borderId="1" xfId="1" applyNumberFormat="1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center" vertical="center"/>
    </xf>
    <xf numFmtId="166" fontId="16" fillId="0" borderId="1" xfId="1" applyNumberFormat="1" applyFont="1" applyFill="1" applyBorder="1" applyAlignment="1">
      <alignment horizontal="center"/>
    </xf>
    <xf numFmtId="164" fontId="11" fillId="0" borderId="0" xfId="1" applyFont="1" applyFill="1" applyAlignment="1">
      <alignment horizontal="center"/>
    </xf>
    <xf numFmtId="1" fontId="17" fillId="0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1" fontId="11" fillId="0" borderId="0" xfId="1" applyNumberFormat="1" applyFont="1" applyFill="1"/>
    <xf numFmtId="164" fontId="17" fillId="0" borderId="1" xfId="1" applyFont="1" applyFill="1" applyBorder="1" applyAlignment="1">
      <alignment horizontal="center" vertical="center" wrapText="1"/>
    </xf>
    <xf numFmtId="164" fontId="17" fillId="0" borderId="1" xfId="1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wrapText="1"/>
    </xf>
    <xf numFmtId="164" fontId="18" fillId="0" borderId="1" xfId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/>
    </xf>
    <xf numFmtId="164" fontId="20" fillId="0" borderId="1" xfId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left" vertical="center" wrapText="1"/>
    </xf>
    <xf numFmtId="164" fontId="11" fillId="0" borderId="1" xfId="1" applyFont="1" applyFill="1" applyBorder="1" applyAlignment="1">
      <alignment horizontal="center" vertical="center" wrapText="1"/>
    </xf>
    <xf numFmtId="164" fontId="20" fillId="0" borderId="1" xfId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20" fillId="0" borderId="1" xfId="1" applyFont="1" applyFill="1" applyBorder="1" applyAlignment="1">
      <alignment horizontal="right" vertical="center" wrapText="1"/>
    </xf>
    <xf numFmtId="164" fontId="11" fillId="0" borderId="1" xfId="1" applyFont="1" applyFill="1" applyBorder="1" applyAlignment="1">
      <alignment horizontal="right" vertical="center" wrapText="1"/>
    </xf>
    <xf numFmtId="164" fontId="21" fillId="0" borderId="1" xfId="1" applyFont="1" applyFill="1" applyBorder="1" applyAlignment="1">
      <alignment vertical="center"/>
    </xf>
    <xf numFmtId="164" fontId="16" fillId="0" borderId="1" xfId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7" fillId="0" borderId="1" xfId="1" applyNumberFormat="1" applyFont="1" applyFill="1" applyBorder="1" applyAlignment="1">
      <alignment horizontal="right" vertical="center" wrapText="1"/>
    </xf>
    <xf numFmtId="164" fontId="17" fillId="0" borderId="1" xfId="1" applyFont="1" applyFill="1" applyBorder="1" applyAlignment="1">
      <alignment horizontal="right" vertical="center" wrapText="1"/>
    </xf>
    <xf numFmtId="164" fontId="16" fillId="0" borderId="0" xfId="1" applyFont="1" applyFill="1"/>
    <xf numFmtId="164" fontId="11" fillId="0" borderId="1" xfId="1" applyFont="1" applyFill="1" applyBorder="1" applyAlignment="1">
      <alignment vertical="center" wrapText="1"/>
    </xf>
    <xf numFmtId="164" fontId="22" fillId="0" borderId="1" xfId="2" applyNumberFormat="1" applyFont="1" applyFill="1" applyBorder="1" applyAlignment="1">
      <alignment vertical="center" wrapText="1"/>
    </xf>
    <xf numFmtId="165" fontId="20" fillId="0" borderId="1" xfId="1" applyNumberFormat="1" applyFont="1" applyFill="1" applyBorder="1" applyAlignment="1">
      <alignment horizontal="right" vertical="center" wrapText="1"/>
    </xf>
    <xf numFmtId="164" fontId="22" fillId="0" borderId="1" xfId="2" applyNumberFormat="1" applyFont="1" applyFill="1" applyBorder="1" applyAlignment="1">
      <alignment horizontal="right" vertical="center" wrapText="1"/>
    </xf>
    <xf numFmtId="165" fontId="22" fillId="0" borderId="1" xfId="2" applyNumberFormat="1" applyFont="1" applyFill="1" applyBorder="1" applyAlignment="1">
      <alignment horizontal="right" vertical="center" wrapText="1"/>
    </xf>
    <xf numFmtId="164" fontId="20" fillId="0" borderId="1" xfId="1" applyFont="1" applyFill="1" applyBorder="1" applyAlignment="1">
      <alignment vertical="center" wrapText="1"/>
    </xf>
    <xf numFmtId="164" fontId="16" fillId="0" borderId="1" xfId="1" applyFont="1" applyFill="1" applyBorder="1" applyAlignment="1">
      <alignment horizontal="right" vertical="center" wrapText="1"/>
    </xf>
    <xf numFmtId="164" fontId="23" fillId="0" borderId="1" xfId="1" applyFont="1" applyFill="1" applyBorder="1" applyAlignment="1">
      <alignment horizontal="right" vertical="center" wrapText="1"/>
    </xf>
    <xf numFmtId="164" fontId="18" fillId="0" borderId="1" xfId="1" applyFont="1" applyFill="1" applyBorder="1" applyAlignment="1">
      <alignment horizontal="right" vertical="center" wrapText="1"/>
    </xf>
    <xf numFmtId="164" fontId="20" fillId="0" borderId="1" xfId="1" applyNumberFormat="1" applyFont="1" applyFill="1" applyBorder="1" applyAlignment="1">
      <alignment horizontal="right" vertical="center" wrapText="1"/>
    </xf>
    <xf numFmtId="164" fontId="22" fillId="0" borderId="1" xfId="4" applyNumberFormat="1" applyFont="1" applyFill="1" applyBorder="1" applyAlignment="1">
      <alignment vertical="center" wrapText="1"/>
    </xf>
    <xf numFmtId="164" fontId="22" fillId="0" borderId="1" xfId="4" applyNumberFormat="1" applyFont="1" applyFill="1" applyBorder="1" applyAlignment="1">
      <alignment horizontal="right" vertical="center"/>
    </xf>
    <xf numFmtId="164" fontId="20" fillId="0" borderId="2" xfId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center"/>
    </xf>
    <xf numFmtId="164" fontId="16" fillId="0" borderId="1" xfId="1" applyFont="1" applyFill="1" applyBorder="1" applyAlignment="1">
      <alignment vertical="center"/>
    </xf>
    <xf numFmtId="164" fontId="11" fillId="0" borderId="1" xfId="1" applyFont="1" applyFill="1" applyBorder="1" applyAlignment="1">
      <alignment horizontal="right" vertical="center"/>
    </xf>
    <xf numFmtId="164" fontId="22" fillId="0" borderId="1" xfId="3" applyNumberFormat="1" applyFont="1" applyFill="1" applyBorder="1" applyAlignment="1">
      <alignment vertical="center" wrapText="1"/>
    </xf>
    <xf numFmtId="164" fontId="22" fillId="0" borderId="1" xfId="3" applyNumberFormat="1" applyFont="1" applyFill="1" applyBorder="1" applyAlignment="1">
      <alignment horizontal="right" vertical="center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right" vertical="center"/>
    </xf>
    <xf numFmtId="164" fontId="16" fillId="0" borderId="1" xfId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right" vertical="center"/>
    </xf>
    <xf numFmtId="164" fontId="23" fillId="0" borderId="1" xfId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vertical="center" wrapText="1"/>
    </xf>
    <xf numFmtId="164" fontId="16" fillId="0" borderId="2" xfId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center" wrapText="1"/>
    </xf>
    <xf numFmtId="164" fontId="11" fillId="0" borderId="0" xfId="1" applyFont="1" applyFill="1" applyAlignment="1">
      <alignment horizontal="center" vertical="center" wrapText="1"/>
    </xf>
    <xf numFmtId="165" fontId="11" fillId="0" borderId="0" xfId="1" applyNumberFormat="1" applyFont="1" applyFill="1"/>
    <xf numFmtId="164" fontId="15" fillId="0" borderId="0" xfId="1" applyFont="1" applyFill="1"/>
    <xf numFmtId="165" fontId="15" fillId="0" borderId="0" xfId="1" applyNumberFormat="1" applyFont="1" applyFill="1"/>
    <xf numFmtId="0" fontId="10" fillId="0" borderId="0" xfId="0" applyFont="1"/>
    <xf numFmtId="0" fontId="10" fillId="0" borderId="0" xfId="0" applyFont="1" applyAlignment="1">
      <alignment horizontal="left"/>
    </xf>
    <xf numFmtId="164" fontId="5" fillId="0" borderId="1" xfId="1" applyFont="1" applyFill="1" applyBorder="1" applyAlignment="1">
      <alignment horizontal="center" wrapText="1"/>
    </xf>
    <xf numFmtId="164" fontId="16" fillId="0" borderId="0" xfId="1" applyFont="1" applyFill="1" applyAlignment="1">
      <alignment horizontal="left" vertical="center"/>
    </xf>
    <xf numFmtId="164" fontId="15" fillId="0" borderId="0" xfId="1" applyFont="1" applyFill="1" applyAlignment="1">
      <alignment vertical="center"/>
    </xf>
    <xf numFmtId="164" fontId="16" fillId="0" borderId="2" xfId="1" applyFont="1" applyFill="1" applyBorder="1" applyAlignment="1">
      <alignment horizontal="center" vertical="center" wrapText="1"/>
    </xf>
    <xf numFmtId="164" fontId="16" fillId="0" borderId="3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wrapText="1"/>
    </xf>
    <xf numFmtId="1" fontId="17" fillId="0" borderId="2" xfId="1" applyNumberFormat="1" applyFont="1" applyFill="1" applyBorder="1" applyAlignment="1">
      <alignment horizontal="center" vertical="center" wrapText="1"/>
    </xf>
    <xf numFmtId="1" fontId="17" fillId="0" borderId="3" xfId="1" applyNumberFormat="1" applyFont="1" applyFill="1" applyBorder="1" applyAlignment="1">
      <alignment horizontal="center" vertical="center" wrapText="1"/>
    </xf>
    <xf numFmtId="1" fontId="17" fillId="0" borderId="4" xfId="1" applyNumberFormat="1" applyFont="1" applyFill="1" applyBorder="1" applyAlignment="1">
      <alignment horizontal="center" vertical="center" wrapText="1"/>
    </xf>
    <xf numFmtId="164" fontId="17" fillId="0" borderId="2" xfId="1" applyFont="1" applyFill="1" applyBorder="1" applyAlignment="1">
      <alignment horizontal="center" vertical="center" wrapText="1"/>
    </xf>
    <xf numFmtId="164" fontId="17" fillId="0" borderId="3" xfId="1" applyFont="1" applyFill="1" applyBorder="1" applyAlignment="1">
      <alignment horizontal="center" vertical="center" wrapText="1"/>
    </xf>
    <xf numFmtId="164" fontId="17" fillId="0" borderId="4" xfId="1" applyFont="1" applyFill="1" applyBorder="1" applyAlignment="1">
      <alignment horizontal="center" vertical="center" wrapText="1"/>
    </xf>
    <xf numFmtId="164" fontId="24" fillId="0" borderId="1" xfId="1" applyFont="1" applyFill="1" applyBorder="1" applyAlignment="1">
      <alignment horizontal="left" vertical="center" wrapText="1"/>
    </xf>
    <xf numFmtId="166" fontId="25" fillId="0" borderId="1" xfId="1" applyNumberFormat="1" applyFont="1" applyFill="1" applyBorder="1" applyAlignment="1">
      <alignment horizontal="center" vertical="center"/>
    </xf>
    <xf numFmtId="166" fontId="25" fillId="0" borderId="1" xfId="1" applyNumberFormat="1" applyFont="1" applyFill="1" applyBorder="1" applyAlignment="1">
      <alignment horizontal="center" vertical="center" wrapText="1"/>
    </xf>
    <xf numFmtId="166" fontId="26" fillId="0" borderId="1" xfId="1" applyNumberFormat="1" applyFont="1" applyFill="1" applyBorder="1" applyAlignment="1">
      <alignment horizontal="center" vertical="center"/>
    </xf>
    <xf numFmtId="166" fontId="25" fillId="0" borderId="1" xfId="1" applyNumberFormat="1" applyFont="1" applyFill="1" applyBorder="1" applyAlignment="1">
      <alignment horizontal="center"/>
    </xf>
    <xf numFmtId="164" fontId="4" fillId="0" borderId="0" xfId="1" applyFont="1" applyFill="1" applyAlignment="1">
      <alignment horizontal="center"/>
    </xf>
    <xf numFmtId="1" fontId="26" fillId="0" borderId="1" xfId="1" applyNumberFormat="1" applyFont="1" applyFill="1" applyBorder="1" applyAlignment="1">
      <alignment horizontal="center" vertical="center" wrapText="1"/>
    </xf>
    <xf numFmtId="1" fontId="25" fillId="0" borderId="1" xfId="1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/>
    </xf>
    <xf numFmtId="1" fontId="4" fillId="0" borderId="0" xfId="1" applyNumberFormat="1" applyFont="1" applyFill="1"/>
    <xf numFmtId="164" fontId="25" fillId="0" borderId="1" xfId="1" applyFont="1" applyFill="1" applyBorder="1" applyAlignment="1">
      <alignment horizontal="center" vertical="center" wrapText="1"/>
    </xf>
    <xf numFmtId="164" fontId="25" fillId="0" borderId="1" xfId="1" applyFont="1" applyFill="1" applyBorder="1" applyAlignment="1">
      <alignment horizontal="center" wrapText="1"/>
    </xf>
    <xf numFmtId="164" fontId="4" fillId="0" borderId="0" xfId="1" applyFont="1" applyFill="1"/>
    <xf numFmtId="164" fontId="14" fillId="0" borderId="1" xfId="1" applyFont="1" applyFill="1" applyBorder="1" applyAlignment="1">
      <alignment horizontal="center" vertical="center" wrapText="1"/>
    </xf>
    <xf numFmtId="164" fontId="28" fillId="0" borderId="1" xfId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/>
    </xf>
    <xf numFmtId="164" fontId="28" fillId="0" borderId="1" xfId="1" applyFont="1" applyFill="1" applyBorder="1" applyAlignment="1">
      <alignment horizontal="right" vertical="center" wrapText="1"/>
    </xf>
    <xf numFmtId="164" fontId="14" fillId="0" borderId="1" xfId="1" applyFont="1" applyFill="1" applyBorder="1" applyAlignment="1">
      <alignment horizontal="right" vertical="center" wrapText="1"/>
    </xf>
    <xf numFmtId="164" fontId="29" fillId="0" borderId="1" xfId="1" applyFont="1" applyFill="1" applyBorder="1" applyAlignment="1">
      <alignment vertical="center"/>
    </xf>
    <xf numFmtId="164" fontId="25" fillId="0" borderId="1" xfId="1" applyFont="1" applyFill="1" applyBorder="1" applyAlignment="1">
      <alignment vertical="center" wrapText="1"/>
    </xf>
    <xf numFmtId="165" fontId="26" fillId="0" borderId="1" xfId="1" applyNumberFormat="1" applyFont="1" applyFill="1" applyBorder="1" applyAlignment="1">
      <alignment horizontal="right" vertical="center" wrapText="1"/>
    </xf>
    <xf numFmtId="164" fontId="26" fillId="0" borderId="1" xfId="1" applyFont="1" applyFill="1" applyBorder="1" applyAlignment="1">
      <alignment horizontal="right" vertical="center" wrapText="1"/>
    </xf>
    <xf numFmtId="164" fontId="30" fillId="0" borderId="0" xfId="1" applyFont="1" applyFill="1"/>
    <xf numFmtId="164" fontId="14" fillId="0" borderId="1" xfId="1" applyFont="1" applyFill="1" applyBorder="1" applyAlignment="1">
      <alignment vertical="center" wrapText="1"/>
    </xf>
    <xf numFmtId="165" fontId="28" fillId="0" borderId="1" xfId="1" applyNumberFormat="1" applyFont="1" applyFill="1" applyBorder="1" applyAlignment="1">
      <alignment horizontal="right" vertical="center" wrapText="1"/>
    </xf>
    <xf numFmtId="164" fontId="31" fillId="0" borderId="1" xfId="2" applyNumberFormat="1" applyFont="1" applyFill="1" applyBorder="1" applyAlignment="1">
      <alignment horizontal="right" vertical="center" wrapText="1"/>
    </xf>
    <xf numFmtId="164" fontId="32" fillId="0" borderId="0" xfId="2" applyNumberFormat="1" applyFont="1" applyFill="1"/>
    <xf numFmtId="165" fontId="31" fillId="0" borderId="1" xfId="2" applyNumberFormat="1" applyFont="1" applyFill="1" applyBorder="1" applyAlignment="1">
      <alignment horizontal="right" vertical="center" wrapText="1"/>
    </xf>
    <xf numFmtId="164" fontId="33" fillId="0" borderId="1" xfId="1" applyFont="1" applyFill="1" applyBorder="1" applyAlignment="1">
      <alignment horizontal="right" vertical="center" wrapText="1"/>
    </xf>
    <xf numFmtId="164" fontId="14" fillId="0" borderId="0" xfId="1" applyFont="1" applyFill="1"/>
    <xf numFmtId="164" fontId="27" fillId="0" borderId="1" xfId="1" applyFont="1" applyFill="1" applyBorder="1" applyAlignment="1">
      <alignment horizontal="right" vertical="center" wrapText="1"/>
    </xf>
    <xf numFmtId="164" fontId="28" fillId="0" borderId="1" xfId="1" applyNumberFormat="1" applyFont="1" applyFill="1" applyBorder="1" applyAlignment="1">
      <alignment horizontal="right" vertical="center" wrapText="1"/>
    </xf>
    <xf numFmtId="164" fontId="31" fillId="0" borderId="1" xfId="4" applyNumberFormat="1" applyFont="1" applyFill="1" applyBorder="1" applyAlignment="1">
      <alignment horizontal="right" vertical="center"/>
    </xf>
    <xf numFmtId="164" fontId="32" fillId="0" borderId="0" xfId="4" applyNumberFormat="1" applyFont="1" applyFill="1"/>
    <xf numFmtId="165" fontId="25" fillId="0" borderId="1" xfId="1" applyNumberFormat="1" applyFont="1" applyFill="1" applyBorder="1" applyAlignment="1">
      <alignment vertical="center"/>
    </xf>
    <xf numFmtId="164" fontId="25" fillId="0" borderId="1" xfId="1" applyFont="1" applyFill="1" applyBorder="1" applyAlignment="1">
      <alignment vertical="center"/>
    </xf>
    <xf numFmtId="164" fontId="14" fillId="0" borderId="1" xfId="1" applyFont="1" applyFill="1" applyBorder="1" applyAlignment="1">
      <alignment horizontal="right" vertical="center"/>
    </xf>
    <xf numFmtId="164" fontId="31" fillId="0" borderId="1" xfId="3" applyNumberFormat="1" applyFont="1" applyFill="1" applyBorder="1" applyAlignment="1">
      <alignment horizontal="right" vertical="center"/>
    </xf>
    <xf numFmtId="164" fontId="32" fillId="0" borderId="0" xfId="3" applyNumberFormat="1" applyFont="1" applyFill="1"/>
    <xf numFmtId="165" fontId="25" fillId="0" borderId="1" xfId="1" applyNumberFormat="1" applyFont="1" applyFill="1" applyBorder="1" applyAlignment="1">
      <alignment horizontal="right" vertical="center"/>
    </xf>
    <xf numFmtId="164" fontId="25" fillId="0" borderId="1" xfId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right" vertical="center"/>
    </xf>
    <xf numFmtId="164" fontId="33" fillId="0" borderId="1" xfId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 wrapText="1"/>
    </xf>
    <xf numFmtId="164" fontId="14" fillId="0" borderId="0" xfId="1" applyFont="1" applyFill="1" applyAlignment="1">
      <alignment horizontal="center" vertical="center" wrapText="1"/>
    </xf>
    <xf numFmtId="1" fontId="14" fillId="0" borderId="0" xfId="1" applyNumberFormat="1" applyFont="1" applyFill="1"/>
    <xf numFmtId="0" fontId="30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/>
    </xf>
    <xf numFmtId="0" fontId="14" fillId="0" borderId="8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16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</cellXfs>
  <cellStyles count="5">
    <cellStyle name="20% - Accent2" xfId="2" builtinId="34"/>
    <cellStyle name="40% - Accent2" xfId="3" builtinId="35"/>
    <cellStyle name="40% - Accent4" xfId="4" builtinId="4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59"/>
  <sheetViews>
    <sheetView tabSelected="1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IE9" sqref="IE9"/>
    </sheetView>
  </sheetViews>
  <sheetFormatPr defaultColWidth="12.28515625" defaultRowHeight="12.75" x14ac:dyDescent="0.2"/>
  <cols>
    <col min="1" max="1" width="64.85546875" style="2" customWidth="1"/>
    <col min="2" max="2" width="7.140625" style="2" customWidth="1"/>
    <col min="3" max="3" width="17.140625" style="2" customWidth="1"/>
    <col min="4" max="4" width="11.7109375" style="2" customWidth="1"/>
    <col min="5" max="6" width="12.28515625" style="2"/>
    <col min="7" max="7" width="12.85546875" style="2" bestFit="1" customWidth="1"/>
    <col min="8" max="8" width="12.42578125" style="2" bestFit="1" customWidth="1"/>
    <col min="9" max="9" width="12.28515625" style="2"/>
    <col min="10" max="10" width="14" style="2" bestFit="1" customWidth="1"/>
    <col min="11" max="11" width="12.42578125" style="2" bestFit="1" customWidth="1"/>
    <col min="12" max="12" width="12.28515625" style="2"/>
    <col min="13" max="13" width="12.42578125" style="2" bestFit="1" customWidth="1"/>
    <col min="14" max="14" width="12.85546875" style="2" bestFit="1" customWidth="1"/>
    <col min="15" max="15" width="16.5703125" style="2" customWidth="1"/>
    <col min="16" max="16" width="12.28515625" style="2"/>
    <col min="17" max="17" width="12.85546875" style="2" bestFit="1" customWidth="1"/>
    <col min="18" max="18" width="12.28515625" style="2"/>
    <col min="19" max="20" width="14" style="2" bestFit="1" customWidth="1"/>
    <col min="21" max="21" width="12.42578125" style="2" bestFit="1" customWidth="1"/>
    <col min="22" max="22" width="15.140625" style="2" bestFit="1" customWidth="1"/>
    <col min="23" max="23" width="12.85546875" style="2" bestFit="1" customWidth="1"/>
    <col min="24" max="24" width="9" style="2" bestFit="1" customWidth="1"/>
    <col min="25" max="25" width="12.42578125" style="2" bestFit="1" customWidth="1"/>
    <col min="26" max="27" width="12.28515625" style="2"/>
    <col min="28" max="28" width="14" style="2" bestFit="1" customWidth="1"/>
    <col min="29" max="29" width="12.28515625" style="2"/>
    <col min="30" max="30" width="12.85546875" style="2" bestFit="1" customWidth="1"/>
    <col min="31" max="31" width="12.42578125" style="2" bestFit="1" customWidth="1"/>
    <col min="32" max="32" width="12.28515625" style="2"/>
    <col min="33" max="33" width="13" style="2" bestFit="1" customWidth="1"/>
    <col min="34" max="34" width="12.28515625" style="2"/>
    <col min="35" max="35" width="12.85546875" style="2" bestFit="1" customWidth="1"/>
    <col min="36" max="36" width="10.42578125" style="2" bestFit="1" customWidth="1"/>
    <col min="37" max="38" width="12.85546875" style="2" bestFit="1" customWidth="1"/>
    <col min="39" max="40" width="12.28515625" style="2"/>
    <col min="41" max="42" width="12.85546875" style="2" bestFit="1" customWidth="1"/>
    <col min="43" max="43" width="12.28515625" style="2"/>
    <col min="44" max="44" width="13" style="2" bestFit="1" customWidth="1"/>
    <col min="45" max="45" width="15.140625" style="2" bestFit="1" customWidth="1"/>
    <col min="46" max="47" width="12.85546875" style="2" bestFit="1" customWidth="1"/>
    <col min="48" max="48" width="12.42578125" style="2" bestFit="1" customWidth="1"/>
    <col min="49" max="50" width="14" style="2" bestFit="1" customWidth="1"/>
    <col min="51" max="52" width="12.85546875" style="2" bestFit="1" customWidth="1"/>
    <col min="53" max="53" width="12.28515625" style="2"/>
    <col min="54" max="55" width="12.85546875" style="2" bestFit="1" customWidth="1"/>
    <col min="56" max="58" width="12.28515625" style="2"/>
    <col min="59" max="59" width="14" style="2" bestFit="1" customWidth="1"/>
    <col min="60" max="62" width="12.85546875" style="2" bestFit="1" customWidth="1"/>
    <col min="63" max="63" width="12.28515625" style="2"/>
    <col min="64" max="64" width="14" style="2" bestFit="1" customWidth="1"/>
    <col min="65" max="65" width="12.42578125" style="2" bestFit="1" customWidth="1"/>
    <col min="66" max="73" width="12.28515625" style="2"/>
    <col min="74" max="74" width="12.85546875" style="2" bestFit="1" customWidth="1"/>
    <col min="75" max="75" width="12.28515625" style="2"/>
    <col min="76" max="76" width="12.85546875" style="2" bestFit="1" customWidth="1"/>
    <col min="77" max="78" width="12.28515625" style="2"/>
    <col min="79" max="79" width="12.85546875" style="2" bestFit="1" customWidth="1"/>
    <col min="80" max="82" width="12.28515625" style="2"/>
    <col min="83" max="83" width="12.85546875" style="2" bestFit="1" customWidth="1"/>
    <col min="84" max="84" width="12.28515625" style="2"/>
    <col min="85" max="85" width="12.85546875" style="2" bestFit="1" customWidth="1"/>
    <col min="86" max="86" width="14" style="2" bestFit="1" customWidth="1"/>
    <col min="87" max="87" width="15.140625" style="2" bestFit="1" customWidth="1"/>
    <col min="88" max="88" width="13" style="2" bestFit="1" customWidth="1"/>
    <col min="89" max="89" width="15.140625" style="2" bestFit="1" customWidth="1"/>
    <col min="90" max="90" width="12.85546875" style="2" bestFit="1" customWidth="1"/>
    <col min="91" max="91" width="14.140625" style="2" bestFit="1" customWidth="1"/>
    <col min="92" max="92" width="11.140625" style="2" bestFit="1" customWidth="1"/>
    <col min="93" max="95" width="12.85546875" style="2" bestFit="1" customWidth="1"/>
    <col min="96" max="96" width="12.28515625" style="2"/>
    <col min="97" max="97" width="12.42578125" style="2" bestFit="1" customWidth="1"/>
    <col min="98" max="98" width="12.28515625" style="2"/>
    <col min="99" max="99" width="12.42578125" style="2" bestFit="1" customWidth="1"/>
    <col min="100" max="100" width="12.85546875" style="2" bestFit="1" customWidth="1"/>
    <col min="101" max="101" width="12.42578125" style="2" bestFit="1" customWidth="1"/>
    <col min="102" max="102" width="12.28515625" style="2"/>
    <col min="103" max="103" width="12.85546875" style="2" bestFit="1" customWidth="1"/>
    <col min="104" max="107" width="12.28515625" style="2"/>
    <col min="108" max="109" width="12.85546875" style="2" bestFit="1" customWidth="1"/>
    <col min="110" max="112" width="12.28515625" style="2"/>
    <col min="113" max="113" width="12.85546875" style="2" bestFit="1" customWidth="1"/>
    <col min="114" max="114" width="12.28515625" style="2"/>
    <col min="115" max="115" width="14.140625" style="2" customWidth="1"/>
    <col min="116" max="116" width="12.42578125" style="2" bestFit="1" customWidth="1"/>
    <col min="117" max="119" width="12.28515625" style="2"/>
    <col min="120" max="120" width="13.42578125" style="2" customWidth="1"/>
    <col min="121" max="121" width="12.42578125" style="2" bestFit="1" customWidth="1"/>
    <col min="122" max="122" width="12.28515625" style="2"/>
    <col min="123" max="123" width="12.42578125" style="2" bestFit="1" customWidth="1"/>
    <col min="124" max="124" width="14" style="2" bestFit="1" customWidth="1"/>
    <col min="125" max="125" width="12.28515625" style="2"/>
    <col min="126" max="126" width="12.85546875" style="2" customWidth="1"/>
    <col min="127" max="127" width="14" style="2" customWidth="1"/>
    <col min="128" max="129" width="12.28515625" style="2"/>
    <col min="130" max="130" width="13.7109375" style="2" bestFit="1" customWidth="1"/>
    <col min="131" max="131" width="13" style="2" customWidth="1"/>
    <col min="132" max="132" width="13.5703125" style="2" customWidth="1"/>
    <col min="133" max="134" width="12.28515625" style="2"/>
    <col min="135" max="135" width="14" style="2" customWidth="1"/>
    <col min="136" max="136" width="12.42578125" style="2" bestFit="1" customWidth="1"/>
    <col min="137" max="138" width="12.28515625" style="2"/>
    <col min="139" max="139" width="14.5703125" style="2" customWidth="1"/>
    <col min="140" max="140" width="12.28515625" style="2"/>
    <col min="141" max="141" width="14.7109375" style="2" customWidth="1"/>
    <col min="142" max="142" width="13.7109375" style="2" customWidth="1"/>
    <col min="143" max="143" width="14.140625" style="2" customWidth="1"/>
    <col min="144" max="144" width="13" style="2" bestFit="1" customWidth="1"/>
    <col min="145" max="145" width="10.7109375" style="2" customWidth="1"/>
    <col min="146" max="146" width="13.7109375" style="2" customWidth="1"/>
    <col min="147" max="147" width="13.42578125" style="2" customWidth="1"/>
    <col min="148" max="148" width="14.42578125" style="2" customWidth="1"/>
    <col min="149" max="149" width="13.7109375" style="2" customWidth="1"/>
    <col min="150" max="150" width="12.28515625" style="2"/>
    <col min="151" max="151" width="13.140625" style="2" customWidth="1"/>
    <col min="152" max="152" width="12.28515625" style="2"/>
    <col min="153" max="153" width="12.42578125" style="2" bestFit="1" customWidth="1"/>
    <col min="154" max="154" width="13.28515625" style="2" customWidth="1"/>
    <col min="155" max="155" width="14" style="2" bestFit="1" customWidth="1"/>
    <col min="156" max="156" width="12.28515625" style="2"/>
    <col min="157" max="157" width="14.140625" style="2" customWidth="1"/>
    <col min="158" max="158" width="12.28515625" style="2"/>
    <col min="159" max="159" width="12.42578125" style="2" bestFit="1" customWidth="1"/>
    <col min="160" max="161" width="12.28515625" style="2"/>
    <col min="162" max="162" width="13.5703125" style="2" customWidth="1"/>
    <col min="163" max="163" width="12.28515625" style="2"/>
    <col min="164" max="164" width="14.42578125" style="2" customWidth="1"/>
    <col min="165" max="165" width="13.7109375" style="2" customWidth="1"/>
    <col min="166" max="166" width="13.85546875" style="2" customWidth="1"/>
    <col min="167" max="168" width="12.42578125" style="2" bestFit="1" customWidth="1"/>
    <col min="169" max="170" width="14.140625" style="2" customWidth="1"/>
    <col min="171" max="171" width="13.7109375" style="2" customWidth="1"/>
    <col min="172" max="172" width="14.28515625" style="2" customWidth="1"/>
    <col min="173" max="173" width="13" style="2" bestFit="1" customWidth="1"/>
    <col min="174" max="174" width="14.42578125" style="2" customWidth="1"/>
    <col min="175" max="175" width="13" style="2" bestFit="1" customWidth="1"/>
    <col min="176" max="176" width="13.140625" style="2" bestFit="1" customWidth="1"/>
    <col min="177" max="177" width="12.42578125" style="2" bestFit="1" customWidth="1"/>
    <col min="178" max="178" width="13.7109375" style="2" customWidth="1"/>
    <col min="179" max="179" width="13.28515625" style="2" customWidth="1"/>
    <col min="180" max="180" width="12.42578125" style="2" bestFit="1" customWidth="1"/>
    <col min="181" max="181" width="14.140625" style="2" customWidth="1"/>
    <col min="182" max="182" width="11.140625" style="2" customWidth="1"/>
    <col min="183" max="183" width="12.42578125" style="2" bestFit="1" customWidth="1"/>
    <col min="184" max="185" width="12.28515625" style="2"/>
    <col min="186" max="186" width="12.42578125" style="2" bestFit="1" customWidth="1"/>
    <col min="187" max="189" width="12.28515625" style="2"/>
    <col min="190" max="190" width="14" style="2" bestFit="1" customWidth="1"/>
    <col min="191" max="191" width="12.42578125" style="2" bestFit="1" customWidth="1"/>
    <col min="192" max="195" width="12.28515625" style="2"/>
    <col min="196" max="196" width="12.42578125" style="2" bestFit="1" customWidth="1"/>
    <col min="197" max="197" width="14" style="2" bestFit="1" customWidth="1"/>
    <col min="198" max="198" width="12.28515625" style="2"/>
    <col min="199" max="199" width="12.42578125" style="2" bestFit="1" customWidth="1"/>
    <col min="200" max="200" width="14.28515625" style="2" customWidth="1"/>
    <col min="201" max="201" width="12.85546875" style="2" bestFit="1" customWidth="1"/>
    <col min="202" max="202" width="12.28515625" style="2"/>
    <col min="203" max="203" width="12.85546875" style="2" bestFit="1" customWidth="1"/>
    <col min="204" max="205" width="12.28515625" style="2"/>
    <col min="206" max="207" width="12.85546875" style="2" bestFit="1" customWidth="1"/>
    <col min="208" max="209" width="12.28515625" style="2"/>
    <col min="210" max="210" width="12.85546875" style="2" bestFit="1" customWidth="1"/>
    <col min="211" max="211" width="10.85546875" style="2" customWidth="1"/>
    <col min="212" max="214" width="12.28515625" style="2"/>
    <col min="215" max="215" width="12.85546875" style="2" bestFit="1" customWidth="1"/>
    <col min="216" max="216" width="12.28515625" style="2"/>
    <col min="217" max="217" width="11.140625" style="2" customWidth="1"/>
    <col min="218" max="218" width="12.28515625" style="2"/>
    <col min="219" max="219" width="12.85546875" style="2" bestFit="1" customWidth="1"/>
    <col min="220" max="221" width="12.28515625" style="2"/>
    <col min="222" max="222" width="14" style="2" bestFit="1" customWidth="1"/>
    <col min="223" max="223" width="12.85546875" style="2" bestFit="1" customWidth="1"/>
    <col min="224" max="232" width="12.28515625" style="2"/>
    <col min="233" max="233" width="11.140625" style="2" customWidth="1"/>
    <col min="234" max="234" width="12.85546875" style="2" bestFit="1" customWidth="1"/>
    <col min="235" max="235" width="14" style="2" bestFit="1" customWidth="1"/>
    <col min="236" max="236" width="12.85546875" style="2" bestFit="1" customWidth="1"/>
    <col min="237" max="237" width="14" style="2" bestFit="1" customWidth="1"/>
    <col min="238" max="239" width="12.28515625" style="2"/>
    <col min="240" max="240" width="14.42578125" style="2" customWidth="1"/>
    <col min="241" max="242" width="12.28515625" style="2"/>
    <col min="243" max="243" width="15" style="2" customWidth="1"/>
    <col min="244" max="244" width="12.85546875" style="2" bestFit="1" customWidth="1"/>
    <col min="245" max="246" width="12.28515625" style="2"/>
    <col min="247" max="247" width="13.7109375" style="2" customWidth="1"/>
    <col min="248" max="248" width="12.28515625" style="2"/>
    <col min="249" max="249" width="11" style="2" bestFit="1" customWidth="1"/>
    <col min="250" max="250" width="14.28515625" style="2" customWidth="1"/>
    <col min="251" max="251" width="12.28515625" style="2"/>
    <col min="252" max="252" width="13.7109375" style="2" customWidth="1"/>
    <col min="253" max="256" width="12.28515625" style="2"/>
    <col min="257" max="258" width="15.85546875" style="2" bestFit="1" customWidth="1"/>
    <col min="259" max="260" width="12.28515625" style="2"/>
    <col min="261" max="261" width="13.5703125" style="2" customWidth="1"/>
    <col min="262" max="263" width="12.28515625" style="2"/>
    <col min="264" max="264" width="13.5703125" style="2" customWidth="1"/>
    <col min="265" max="265" width="14.5703125" style="2" customWidth="1"/>
    <col min="266" max="266" width="14.140625" style="2" customWidth="1"/>
    <col min="267" max="267" width="12.28515625" style="2"/>
    <col min="268" max="268" width="12.85546875" style="2" customWidth="1"/>
    <col min="269" max="270" width="12.28515625" style="2"/>
    <col min="271" max="271" width="10.7109375" style="2" customWidth="1"/>
    <col min="272" max="272" width="12.85546875" style="2" bestFit="1" customWidth="1"/>
    <col min="273" max="273" width="12.28515625" style="2"/>
    <col min="274" max="274" width="15.140625" style="2" bestFit="1" customWidth="1"/>
    <col min="275" max="275" width="12.42578125" style="2" bestFit="1" customWidth="1"/>
    <col min="276" max="276" width="12.28515625" style="2"/>
    <col min="277" max="277" width="14" style="2" bestFit="1" customWidth="1"/>
    <col min="278" max="279" width="12.28515625" style="2"/>
    <col min="280" max="280" width="14" style="2" bestFit="1" customWidth="1"/>
    <col min="281" max="281" width="12.28515625" style="2"/>
    <col min="282" max="283" width="12.85546875" style="2" bestFit="1" customWidth="1"/>
    <col min="284" max="284" width="13.7109375" style="2" customWidth="1"/>
    <col min="285" max="287" width="12.28515625" style="2"/>
    <col min="288" max="288" width="12.85546875" style="2" bestFit="1" customWidth="1"/>
    <col min="289" max="292" width="12.28515625" style="2"/>
    <col min="293" max="293" width="14" style="2" bestFit="1" customWidth="1"/>
    <col min="294" max="294" width="12.28515625" style="2"/>
    <col min="295" max="295" width="12.85546875" style="2" bestFit="1" customWidth="1"/>
    <col min="296" max="298" width="12.28515625" style="2"/>
    <col min="299" max="299" width="12.85546875" style="2" bestFit="1" customWidth="1"/>
    <col min="300" max="302" width="12.28515625" style="2"/>
    <col min="303" max="303" width="12.85546875" style="2" bestFit="1" customWidth="1"/>
    <col min="304" max="304" width="14" style="2" bestFit="1" customWidth="1"/>
    <col min="305" max="308" width="12.28515625" style="2"/>
    <col min="309" max="309" width="14.7109375" style="2" customWidth="1"/>
    <col min="310" max="310" width="12.28515625" style="2"/>
    <col min="311" max="311" width="12.85546875" style="2" bestFit="1" customWidth="1"/>
    <col min="312" max="317" width="12.28515625" style="2"/>
    <col min="318" max="318" width="16.5703125" style="2" bestFit="1" customWidth="1"/>
    <col min="319" max="324" width="12.28515625" style="2"/>
    <col min="325" max="325" width="12.85546875" style="2" bestFit="1" customWidth="1"/>
    <col min="326" max="327" width="12.28515625" style="2"/>
    <col min="328" max="328" width="10.85546875" style="2" bestFit="1" customWidth="1"/>
    <col min="329" max="329" width="12.28515625" style="2"/>
    <col min="330" max="330" width="13.7109375" style="2" customWidth="1"/>
    <col min="331" max="333" width="12.28515625" style="2"/>
    <col min="334" max="334" width="13.7109375" style="2" customWidth="1"/>
    <col min="335" max="335" width="13.85546875" style="2" customWidth="1"/>
    <col min="336" max="336" width="13.5703125" style="2" customWidth="1"/>
    <col min="337" max="337" width="12.85546875" style="2" bestFit="1" customWidth="1"/>
    <col min="338" max="339" width="12.28515625" style="2"/>
    <col min="340" max="340" width="13.7109375" style="2" customWidth="1"/>
    <col min="341" max="342" width="13.85546875" style="2" customWidth="1"/>
    <col min="343" max="344" width="12.28515625" style="2"/>
    <col min="345" max="345" width="13" style="2" customWidth="1"/>
    <col min="346" max="346" width="12.28515625" style="2"/>
    <col min="347" max="347" width="15.28515625" style="2" customWidth="1"/>
    <col min="348" max="349" width="12.28515625" style="2"/>
    <col min="350" max="350" width="14.28515625" style="2" customWidth="1"/>
    <col min="351" max="353" width="12.28515625" style="2"/>
    <col min="354" max="355" width="13.85546875" style="2" customWidth="1"/>
    <col min="356" max="356" width="13.140625" style="2" customWidth="1"/>
    <col min="357" max="358" width="12.28515625" style="2"/>
    <col min="359" max="359" width="13.7109375" style="2" customWidth="1"/>
    <col min="360" max="360" width="13.28515625" style="2" customWidth="1"/>
    <col min="361" max="16384" width="12.28515625" style="2"/>
  </cols>
  <sheetData>
    <row r="1" spans="1:362" ht="12.75" hidden="1" customHeight="1" x14ac:dyDescent="0.2">
      <c r="A1" s="149" t="s">
        <v>503</v>
      </c>
      <c r="B1" s="151"/>
      <c r="C1" s="151"/>
    </row>
    <row r="2" spans="1:362" ht="15" x14ac:dyDescent="0.2">
      <c r="A2" s="149" t="s">
        <v>504</v>
      </c>
      <c r="B2" s="151"/>
      <c r="C2" s="152" t="s">
        <v>505</v>
      </c>
      <c r="D2" s="6"/>
      <c r="E2" s="6"/>
      <c r="F2" s="6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362" ht="9.75" customHeight="1" thickBot="1" x14ac:dyDescent="0.25">
      <c r="A3" s="151"/>
      <c r="B3" s="151"/>
      <c r="C3" s="151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1:362" ht="9.75" hidden="1" customHeight="1" x14ac:dyDescent="0.2">
      <c r="A4" s="171" t="s">
        <v>506</v>
      </c>
      <c r="B4" s="172"/>
      <c r="C4" s="1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362" s="5" customFormat="1" ht="11.25" customHeight="1" thickBot="1" x14ac:dyDescent="0.25">
      <c r="A5" s="174" t="s">
        <v>507</v>
      </c>
      <c r="B5" s="175"/>
      <c r="C5" s="176"/>
      <c r="D5" s="102">
        <v>1</v>
      </c>
      <c r="E5" s="103">
        <v>2</v>
      </c>
      <c r="F5" s="103">
        <v>3</v>
      </c>
      <c r="G5" s="103">
        <v>4</v>
      </c>
      <c r="H5" s="103">
        <v>5</v>
      </c>
      <c r="I5" s="103">
        <v>6</v>
      </c>
      <c r="J5" s="103">
        <v>7</v>
      </c>
      <c r="K5" s="103">
        <v>8</v>
      </c>
      <c r="L5" s="103">
        <v>9</v>
      </c>
      <c r="M5" s="103">
        <v>10</v>
      </c>
      <c r="N5" s="103">
        <v>11</v>
      </c>
      <c r="O5" s="103">
        <v>12</v>
      </c>
      <c r="P5" s="103">
        <v>13</v>
      </c>
      <c r="Q5" s="103">
        <v>14</v>
      </c>
      <c r="R5" s="103">
        <v>15</v>
      </c>
      <c r="S5" s="103">
        <v>16</v>
      </c>
      <c r="T5" s="103">
        <v>17</v>
      </c>
      <c r="U5" s="103">
        <v>18</v>
      </c>
      <c r="V5" s="103">
        <v>19</v>
      </c>
      <c r="W5" s="103">
        <v>20</v>
      </c>
      <c r="X5" s="103">
        <v>21</v>
      </c>
      <c r="Y5" s="103">
        <v>22</v>
      </c>
      <c r="Z5" s="103">
        <v>23</v>
      </c>
      <c r="AA5" s="103">
        <v>24</v>
      </c>
      <c r="AB5" s="103">
        <v>25</v>
      </c>
      <c r="AC5" s="103">
        <v>26</v>
      </c>
      <c r="AD5" s="103">
        <v>27</v>
      </c>
      <c r="AE5" s="103">
        <v>28</v>
      </c>
      <c r="AF5" s="103">
        <v>29</v>
      </c>
      <c r="AG5" s="103">
        <v>30</v>
      </c>
      <c r="AH5" s="103">
        <v>31</v>
      </c>
      <c r="AI5" s="103">
        <v>32</v>
      </c>
      <c r="AJ5" s="103">
        <v>33</v>
      </c>
      <c r="AK5" s="103">
        <v>34</v>
      </c>
      <c r="AL5" s="103">
        <v>35</v>
      </c>
      <c r="AM5" s="103">
        <v>36</v>
      </c>
      <c r="AN5" s="103">
        <v>37</v>
      </c>
      <c r="AO5" s="103">
        <v>38</v>
      </c>
      <c r="AP5" s="103">
        <v>39</v>
      </c>
      <c r="AQ5" s="103">
        <v>40</v>
      </c>
      <c r="AR5" s="103">
        <v>41</v>
      </c>
      <c r="AS5" s="103">
        <v>42</v>
      </c>
      <c r="AT5" s="103">
        <v>43</v>
      </c>
      <c r="AU5" s="103">
        <v>44</v>
      </c>
      <c r="AV5" s="103">
        <v>45</v>
      </c>
      <c r="AW5" s="103">
        <v>46</v>
      </c>
      <c r="AX5" s="103">
        <v>47</v>
      </c>
      <c r="AY5" s="103">
        <v>48</v>
      </c>
      <c r="AZ5" s="103">
        <v>49</v>
      </c>
      <c r="BA5" s="103">
        <v>50</v>
      </c>
      <c r="BB5" s="104">
        <v>51</v>
      </c>
      <c r="BC5" s="103">
        <v>52</v>
      </c>
      <c r="BD5" s="104">
        <v>53</v>
      </c>
      <c r="BE5" s="103">
        <v>54</v>
      </c>
      <c r="BF5" s="104">
        <v>55</v>
      </c>
      <c r="BG5" s="103">
        <v>56</v>
      </c>
      <c r="BH5" s="104">
        <v>57</v>
      </c>
      <c r="BI5" s="103">
        <v>58</v>
      </c>
      <c r="BJ5" s="104">
        <v>59</v>
      </c>
      <c r="BK5" s="103">
        <v>60</v>
      </c>
      <c r="BL5" s="104">
        <v>61</v>
      </c>
      <c r="BM5" s="103">
        <v>62</v>
      </c>
      <c r="BN5" s="104">
        <v>63</v>
      </c>
      <c r="BO5" s="103">
        <v>64</v>
      </c>
      <c r="BP5" s="104">
        <v>65</v>
      </c>
      <c r="BQ5" s="103">
        <v>66</v>
      </c>
      <c r="BR5" s="104">
        <v>67</v>
      </c>
      <c r="BS5" s="103">
        <v>68</v>
      </c>
      <c r="BT5" s="104">
        <v>69</v>
      </c>
      <c r="BU5" s="103">
        <v>70</v>
      </c>
      <c r="BV5" s="104">
        <v>71</v>
      </c>
      <c r="BW5" s="103">
        <v>72</v>
      </c>
      <c r="BX5" s="104">
        <v>73</v>
      </c>
      <c r="BY5" s="103">
        <v>74</v>
      </c>
      <c r="BZ5" s="104">
        <v>75</v>
      </c>
      <c r="CA5" s="103">
        <v>76</v>
      </c>
      <c r="CB5" s="104">
        <v>77</v>
      </c>
      <c r="CC5" s="103">
        <v>78</v>
      </c>
      <c r="CD5" s="104">
        <v>79</v>
      </c>
      <c r="CE5" s="103">
        <v>80</v>
      </c>
      <c r="CF5" s="104">
        <v>81</v>
      </c>
      <c r="CG5" s="103">
        <v>82</v>
      </c>
      <c r="CH5" s="104">
        <v>83</v>
      </c>
      <c r="CI5" s="103">
        <v>84</v>
      </c>
      <c r="CJ5" s="104">
        <v>85</v>
      </c>
      <c r="CK5" s="103">
        <v>86</v>
      </c>
      <c r="CL5" s="104">
        <v>87</v>
      </c>
      <c r="CM5" s="103">
        <v>88</v>
      </c>
      <c r="CN5" s="104">
        <v>89</v>
      </c>
      <c r="CO5" s="103">
        <v>90</v>
      </c>
      <c r="CP5" s="104">
        <v>91</v>
      </c>
      <c r="CQ5" s="103">
        <v>92</v>
      </c>
      <c r="CR5" s="104">
        <v>93</v>
      </c>
      <c r="CS5" s="104">
        <v>95</v>
      </c>
      <c r="CT5" s="103">
        <v>96</v>
      </c>
      <c r="CU5" s="104">
        <v>97</v>
      </c>
      <c r="CV5" s="103">
        <v>98</v>
      </c>
      <c r="CW5" s="104">
        <v>99</v>
      </c>
      <c r="CX5" s="103">
        <v>100</v>
      </c>
      <c r="CY5" s="104">
        <v>101</v>
      </c>
      <c r="CZ5" s="103">
        <v>102</v>
      </c>
      <c r="DA5" s="104">
        <v>103</v>
      </c>
      <c r="DB5" s="103">
        <v>104</v>
      </c>
      <c r="DC5" s="104">
        <v>105</v>
      </c>
      <c r="DD5" s="103">
        <v>106</v>
      </c>
      <c r="DE5" s="104">
        <v>107</v>
      </c>
      <c r="DF5" s="103">
        <v>108</v>
      </c>
      <c r="DG5" s="104">
        <v>109</v>
      </c>
      <c r="DH5" s="103">
        <v>110</v>
      </c>
      <c r="DI5" s="104">
        <v>111</v>
      </c>
      <c r="DJ5" s="103">
        <v>112</v>
      </c>
      <c r="DK5" s="104">
        <v>113</v>
      </c>
      <c r="DL5" s="103">
        <v>114</v>
      </c>
      <c r="DM5" s="104">
        <v>115</v>
      </c>
      <c r="DN5" s="103">
        <v>116</v>
      </c>
      <c r="DO5" s="104">
        <v>117</v>
      </c>
      <c r="DP5" s="103">
        <v>118</v>
      </c>
      <c r="DQ5" s="104">
        <v>119</v>
      </c>
      <c r="DR5" s="103">
        <v>120</v>
      </c>
      <c r="DS5" s="104">
        <v>121</v>
      </c>
      <c r="DT5" s="103">
        <v>122</v>
      </c>
      <c r="DU5" s="104">
        <v>123</v>
      </c>
      <c r="DV5" s="103">
        <v>124</v>
      </c>
      <c r="DW5" s="104">
        <v>125</v>
      </c>
      <c r="DX5" s="103">
        <v>126</v>
      </c>
      <c r="DY5" s="104">
        <v>127</v>
      </c>
      <c r="DZ5" s="103">
        <v>128</v>
      </c>
      <c r="EA5" s="104">
        <v>129</v>
      </c>
      <c r="EB5" s="103">
        <v>130</v>
      </c>
      <c r="EC5" s="104">
        <v>131</v>
      </c>
      <c r="ED5" s="103">
        <v>132</v>
      </c>
      <c r="EE5" s="104">
        <v>133</v>
      </c>
      <c r="EF5" s="103">
        <v>134</v>
      </c>
      <c r="EG5" s="104">
        <v>135</v>
      </c>
      <c r="EH5" s="103">
        <v>136</v>
      </c>
      <c r="EI5" s="104">
        <v>137</v>
      </c>
      <c r="EJ5" s="105">
        <f>EI5+1</f>
        <v>138</v>
      </c>
      <c r="EK5" s="105">
        <f t="shared" ref="EK5:GD5" si="0">EJ5+1</f>
        <v>139</v>
      </c>
      <c r="EL5" s="105">
        <f t="shared" si="0"/>
        <v>140</v>
      </c>
      <c r="EM5" s="105">
        <f t="shared" si="0"/>
        <v>141</v>
      </c>
      <c r="EN5" s="105">
        <f t="shared" si="0"/>
        <v>142</v>
      </c>
      <c r="EO5" s="105">
        <f t="shared" si="0"/>
        <v>143</v>
      </c>
      <c r="EP5" s="105">
        <f t="shared" si="0"/>
        <v>144</v>
      </c>
      <c r="EQ5" s="105">
        <f t="shared" si="0"/>
        <v>145</v>
      </c>
      <c r="ER5" s="105">
        <f t="shared" si="0"/>
        <v>146</v>
      </c>
      <c r="ES5" s="105">
        <f t="shared" si="0"/>
        <v>147</v>
      </c>
      <c r="ET5" s="105">
        <f t="shared" si="0"/>
        <v>148</v>
      </c>
      <c r="EU5" s="105">
        <f t="shared" si="0"/>
        <v>149</v>
      </c>
      <c r="EV5" s="105">
        <f t="shared" si="0"/>
        <v>150</v>
      </c>
      <c r="EW5" s="105">
        <f t="shared" si="0"/>
        <v>151</v>
      </c>
      <c r="EX5" s="105">
        <f t="shared" si="0"/>
        <v>152</v>
      </c>
      <c r="EY5" s="105">
        <f t="shared" si="0"/>
        <v>153</v>
      </c>
      <c r="EZ5" s="105">
        <f t="shared" si="0"/>
        <v>154</v>
      </c>
      <c r="FA5" s="105">
        <f t="shared" si="0"/>
        <v>155</v>
      </c>
      <c r="FB5" s="105">
        <f t="shared" si="0"/>
        <v>156</v>
      </c>
      <c r="FC5" s="105">
        <f t="shared" si="0"/>
        <v>157</v>
      </c>
      <c r="FD5" s="105">
        <f t="shared" si="0"/>
        <v>158</v>
      </c>
      <c r="FE5" s="105">
        <f t="shared" si="0"/>
        <v>159</v>
      </c>
      <c r="FF5" s="105">
        <f t="shared" si="0"/>
        <v>160</v>
      </c>
      <c r="FG5" s="105">
        <f t="shared" si="0"/>
        <v>161</v>
      </c>
      <c r="FH5" s="105">
        <f t="shared" si="0"/>
        <v>162</v>
      </c>
      <c r="FI5" s="105">
        <f t="shared" si="0"/>
        <v>163</v>
      </c>
      <c r="FJ5" s="105">
        <f t="shared" si="0"/>
        <v>164</v>
      </c>
      <c r="FK5" s="105">
        <f t="shared" si="0"/>
        <v>165</v>
      </c>
      <c r="FL5" s="105">
        <f t="shared" si="0"/>
        <v>166</v>
      </c>
      <c r="FM5" s="105">
        <f t="shared" si="0"/>
        <v>167</v>
      </c>
      <c r="FN5" s="105">
        <f t="shared" si="0"/>
        <v>168</v>
      </c>
      <c r="FO5" s="105">
        <f t="shared" si="0"/>
        <v>169</v>
      </c>
      <c r="FP5" s="105">
        <f t="shared" si="0"/>
        <v>170</v>
      </c>
      <c r="FQ5" s="105">
        <f t="shared" si="0"/>
        <v>171</v>
      </c>
      <c r="FR5" s="105">
        <f t="shared" si="0"/>
        <v>172</v>
      </c>
      <c r="FS5" s="105">
        <f t="shared" si="0"/>
        <v>173</v>
      </c>
      <c r="FT5" s="105">
        <f t="shared" si="0"/>
        <v>174</v>
      </c>
      <c r="FU5" s="105">
        <f t="shared" si="0"/>
        <v>175</v>
      </c>
      <c r="FV5" s="105">
        <f t="shared" si="0"/>
        <v>176</v>
      </c>
      <c r="FW5" s="105">
        <f t="shared" si="0"/>
        <v>177</v>
      </c>
      <c r="FX5" s="105">
        <f t="shared" si="0"/>
        <v>178</v>
      </c>
      <c r="FY5" s="105">
        <f t="shared" si="0"/>
        <v>179</v>
      </c>
      <c r="FZ5" s="105">
        <f t="shared" si="0"/>
        <v>180</v>
      </c>
      <c r="GA5" s="105">
        <f t="shared" si="0"/>
        <v>181</v>
      </c>
      <c r="GB5" s="105">
        <f t="shared" si="0"/>
        <v>182</v>
      </c>
      <c r="GC5" s="105">
        <f t="shared" si="0"/>
        <v>183</v>
      </c>
      <c r="GD5" s="105">
        <f t="shared" si="0"/>
        <v>184</v>
      </c>
      <c r="GE5" s="105">
        <f t="shared" ref="GE5:HH5" si="1">GD5+1</f>
        <v>185</v>
      </c>
      <c r="GF5" s="105">
        <f t="shared" si="1"/>
        <v>186</v>
      </c>
      <c r="GG5" s="105">
        <f t="shared" si="1"/>
        <v>187</v>
      </c>
      <c r="GH5" s="105">
        <f t="shared" si="1"/>
        <v>188</v>
      </c>
      <c r="GI5" s="105">
        <f t="shared" si="1"/>
        <v>189</v>
      </c>
      <c r="GJ5" s="105">
        <f t="shared" si="1"/>
        <v>190</v>
      </c>
      <c r="GK5" s="105">
        <f t="shared" si="1"/>
        <v>191</v>
      </c>
      <c r="GL5" s="105">
        <f t="shared" si="1"/>
        <v>192</v>
      </c>
      <c r="GM5" s="105">
        <f t="shared" si="1"/>
        <v>193</v>
      </c>
      <c r="GN5" s="105">
        <f t="shared" si="1"/>
        <v>194</v>
      </c>
      <c r="GO5" s="105">
        <f t="shared" si="1"/>
        <v>195</v>
      </c>
      <c r="GP5" s="105">
        <f t="shared" si="1"/>
        <v>196</v>
      </c>
      <c r="GQ5" s="105">
        <f t="shared" si="1"/>
        <v>197</v>
      </c>
      <c r="GR5" s="105">
        <f t="shared" si="1"/>
        <v>198</v>
      </c>
      <c r="GS5" s="105">
        <f t="shared" si="1"/>
        <v>199</v>
      </c>
      <c r="GT5" s="105">
        <f t="shared" si="1"/>
        <v>200</v>
      </c>
      <c r="GU5" s="105">
        <f t="shared" si="1"/>
        <v>201</v>
      </c>
      <c r="GV5" s="105">
        <f t="shared" si="1"/>
        <v>202</v>
      </c>
      <c r="GW5" s="105">
        <f t="shared" si="1"/>
        <v>203</v>
      </c>
      <c r="GX5" s="105">
        <f t="shared" si="1"/>
        <v>204</v>
      </c>
      <c r="GY5" s="105">
        <f t="shared" si="1"/>
        <v>205</v>
      </c>
      <c r="GZ5" s="105">
        <f t="shared" si="1"/>
        <v>206</v>
      </c>
      <c r="HA5" s="105">
        <v>207</v>
      </c>
      <c r="HB5" s="105">
        <f t="shared" si="1"/>
        <v>208</v>
      </c>
      <c r="HC5" s="105">
        <f t="shared" si="1"/>
        <v>209</v>
      </c>
      <c r="HD5" s="105">
        <f t="shared" si="1"/>
        <v>210</v>
      </c>
      <c r="HE5" s="105">
        <f t="shared" si="1"/>
        <v>211</v>
      </c>
      <c r="HF5" s="105">
        <f t="shared" si="1"/>
        <v>212</v>
      </c>
      <c r="HG5" s="105">
        <f t="shared" si="1"/>
        <v>213</v>
      </c>
      <c r="HH5" s="105">
        <f t="shared" si="1"/>
        <v>214</v>
      </c>
      <c r="HI5" s="105">
        <f t="shared" ref="HI5:IN5" si="2">HH5+1</f>
        <v>215</v>
      </c>
      <c r="HJ5" s="105">
        <f t="shared" si="2"/>
        <v>216</v>
      </c>
      <c r="HK5" s="105">
        <f t="shared" si="2"/>
        <v>217</v>
      </c>
      <c r="HL5" s="105">
        <f t="shared" si="2"/>
        <v>218</v>
      </c>
      <c r="HM5" s="105">
        <f t="shared" si="2"/>
        <v>219</v>
      </c>
      <c r="HN5" s="105">
        <f t="shared" si="2"/>
        <v>220</v>
      </c>
      <c r="HO5" s="105">
        <f t="shared" si="2"/>
        <v>221</v>
      </c>
      <c r="HP5" s="105">
        <f t="shared" si="2"/>
        <v>222</v>
      </c>
      <c r="HQ5" s="105">
        <f t="shared" si="2"/>
        <v>223</v>
      </c>
      <c r="HR5" s="105">
        <f t="shared" si="2"/>
        <v>224</v>
      </c>
      <c r="HS5" s="105">
        <f t="shared" si="2"/>
        <v>225</v>
      </c>
      <c r="HT5" s="105">
        <f t="shared" si="2"/>
        <v>226</v>
      </c>
      <c r="HU5" s="105">
        <f t="shared" si="2"/>
        <v>227</v>
      </c>
      <c r="HV5" s="105">
        <f t="shared" si="2"/>
        <v>228</v>
      </c>
      <c r="HW5" s="105">
        <f t="shared" si="2"/>
        <v>229</v>
      </c>
      <c r="HX5" s="105">
        <f t="shared" si="2"/>
        <v>230</v>
      </c>
      <c r="HY5" s="105">
        <f t="shared" si="2"/>
        <v>231</v>
      </c>
      <c r="HZ5" s="105">
        <f t="shared" si="2"/>
        <v>232</v>
      </c>
      <c r="IA5" s="105">
        <f t="shared" si="2"/>
        <v>233</v>
      </c>
      <c r="IB5" s="105">
        <f t="shared" si="2"/>
        <v>234</v>
      </c>
      <c r="IC5" s="105">
        <f t="shared" si="2"/>
        <v>235</v>
      </c>
      <c r="ID5" s="105">
        <f t="shared" si="2"/>
        <v>236</v>
      </c>
      <c r="IE5" s="105">
        <f t="shared" si="2"/>
        <v>237</v>
      </c>
      <c r="IF5" s="105">
        <f t="shared" si="2"/>
        <v>238</v>
      </c>
      <c r="IG5" s="105">
        <f t="shared" si="2"/>
        <v>239</v>
      </c>
      <c r="IH5" s="105">
        <f t="shared" si="2"/>
        <v>240</v>
      </c>
      <c r="II5" s="105">
        <f t="shared" si="2"/>
        <v>241</v>
      </c>
      <c r="IJ5" s="105">
        <f t="shared" si="2"/>
        <v>242</v>
      </c>
      <c r="IK5" s="105">
        <f t="shared" si="2"/>
        <v>243</v>
      </c>
      <c r="IL5" s="105">
        <f t="shared" si="2"/>
        <v>244</v>
      </c>
      <c r="IM5" s="105">
        <f t="shared" si="2"/>
        <v>245</v>
      </c>
      <c r="IN5" s="105">
        <f t="shared" si="2"/>
        <v>246</v>
      </c>
      <c r="IO5" s="105">
        <f t="shared" ref="IO5:JT5" si="3">IN5+1</f>
        <v>247</v>
      </c>
      <c r="IP5" s="105">
        <f t="shared" si="3"/>
        <v>248</v>
      </c>
      <c r="IQ5" s="105">
        <f t="shared" si="3"/>
        <v>249</v>
      </c>
      <c r="IR5" s="105">
        <f t="shared" si="3"/>
        <v>250</v>
      </c>
      <c r="IS5" s="105">
        <f t="shared" si="3"/>
        <v>251</v>
      </c>
      <c r="IT5" s="105">
        <f t="shared" si="3"/>
        <v>252</v>
      </c>
      <c r="IU5" s="105">
        <f t="shared" si="3"/>
        <v>253</v>
      </c>
      <c r="IV5" s="105">
        <f t="shared" si="3"/>
        <v>254</v>
      </c>
      <c r="IW5" s="105">
        <f t="shared" si="3"/>
        <v>255</v>
      </c>
      <c r="IX5" s="105">
        <f t="shared" si="3"/>
        <v>256</v>
      </c>
      <c r="IY5" s="105">
        <f t="shared" si="3"/>
        <v>257</v>
      </c>
      <c r="IZ5" s="105">
        <f t="shared" si="3"/>
        <v>258</v>
      </c>
      <c r="JA5" s="105">
        <f t="shared" si="3"/>
        <v>259</v>
      </c>
      <c r="JB5" s="105">
        <f t="shared" si="3"/>
        <v>260</v>
      </c>
      <c r="JC5" s="105">
        <f t="shared" si="3"/>
        <v>261</v>
      </c>
      <c r="JD5" s="105">
        <f t="shared" si="3"/>
        <v>262</v>
      </c>
      <c r="JE5" s="105">
        <f t="shared" si="3"/>
        <v>263</v>
      </c>
      <c r="JF5" s="105">
        <f t="shared" si="3"/>
        <v>264</v>
      </c>
      <c r="JG5" s="105">
        <f t="shared" si="3"/>
        <v>265</v>
      </c>
      <c r="JH5" s="105">
        <f t="shared" si="3"/>
        <v>266</v>
      </c>
      <c r="JI5" s="105">
        <f t="shared" si="3"/>
        <v>267</v>
      </c>
      <c r="JJ5" s="105">
        <f t="shared" si="3"/>
        <v>268</v>
      </c>
      <c r="JK5" s="105">
        <f t="shared" si="3"/>
        <v>269</v>
      </c>
      <c r="JL5" s="105">
        <f t="shared" si="3"/>
        <v>270</v>
      </c>
      <c r="JM5" s="105">
        <f t="shared" si="3"/>
        <v>271</v>
      </c>
      <c r="JN5" s="105">
        <f t="shared" si="3"/>
        <v>272</v>
      </c>
      <c r="JO5" s="105">
        <f t="shared" si="3"/>
        <v>273</v>
      </c>
      <c r="JP5" s="105">
        <f t="shared" si="3"/>
        <v>274</v>
      </c>
      <c r="JQ5" s="105">
        <f>JP5+1</f>
        <v>275</v>
      </c>
      <c r="JR5" s="105">
        <f t="shared" si="3"/>
        <v>276</v>
      </c>
      <c r="JS5" s="105">
        <f>JR5+1</f>
        <v>277</v>
      </c>
      <c r="JT5" s="105">
        <f t="shared" si="3"/>
        <v>278</v>
      </c>
      <c r="JU5" s="105">
        <f t="shared" ref="JU5:KM5" si="4">JT5+1</f>
        <v>279</v>
      </c>
      <c r="JV5" s="105">
        <f t="shared" si="4"/>
        <v>280</v>
      </c>
      <c r="JW5" s="105">
        <f t="shared" si="4"/>
        <v>281</v>
      </c>
      <c r="JX5" s="105">
        <f t="shared" si="4"/>
        <v>282</v>
      </c>
      <c r="JY5" s="105">
        <f t="shared" si="4"/>
        <v>283</v>
      </c>
      <c r="JZ5" s="105">
        <f t="shared" si="4"/>
        <v>284</v>
      </c>
      <c r="KA5" s="105">
        <f t="shared" si="4"/>
        <v>285</v>
      </c>
      <c r="KB5" s="105">
        <f t="shared" si="4"/>
        <v>286</v>
      </c>
      <c r="KC5" s="105">
        <f t="shared" si="4"/>
        <v>287</v>
      </c>
      <c r="KD5" s="105">
        <f t="shared" si="4"/>
        <v>288</v>
      </c>
      <c r="KE5" s="105">
        <f t="shared" si="4"/>
        <v>289</v>
      </c>
      <c r="KF5" s="105">
        <f t="shared" si="4"/>
        <v>290</v>
      </c>
      <c r="KG5" s="105">
        <f t="shared" si="4"/>
        <v>291</v>
      </c>
      <c r="KH5" s="105">
        <f t="shared" si="4"/>
        <v>292</v>
      </c>
      <c r="KI5" s="105">
        <f t="shared" si="4"/>
        <v>293</v>
      </c>
      <c r="KJ5" s="105">
        <f t="shared" si="4"/>
        <v>294</v>
      </c>
      <c r="KK5" s="105">
        <f t="shared" si="4"/>
        <v>295</v>
      </c>
      <c r="KL5" s="105">
        <f t="shared" si="4"/>
        <v>296</v>
      </c>
      <c r="KM5" s="105">
        <f t="shared" si="4"/>
        <v>297</v>
      </c>
      <c r="KN5" s="105">
        <f t="shared" ref="KN5:LB5" si="5">KM5+1</f>
        <v>298</v>
      </c>
      <c r="KO5" s="105">
        <f t="shared" si="5"/>
        <v>299</v>
      </c>
      <c r="KP5" s="105">
        <f t="shared" si="5"/>
        <v>300</v>
      </c>
      <c r="KQ5" s="105">
        <f t="shared" si="5"/>
        <v>301</v>
      </c>
      <c r="KR5" s="105">
        <f t="shared" si="5"/>
        <v>302</v>
      </c>
      <c r="KS5" s="105">
        <f t="shared" si="5"/>
        <v>303</v>
      </c>
      <c r="KT5" s="105">
        <f t="shared" si="5"/>
        <v>304</v>
      </c>
      <c r="KU5" s="105">
        <f t="shared" si="5"/>
        <v>305</v>
      </c>
      <c r="KV5" s="105">
        <f t="shared" si="5"/>
        <v>306</v>
      </c>
      <c r="KW5" s="105">
        <f t="shared" si="5"/>
        <v>307</v>
      </c>
      <c r="KX5" s="105">
        <f t="shared" si="5"/>
        <v>308</v>
      </c>
      <c r="KY5" s="105">
        <f t="shared" si="5"/>
        <v>309</v>
      </c>
      <c r="KZ5" s="105">
        <f t="shared" si="5"/>
        <v>310</v>
      </c>
      <c r="LA5" s="105">
        <f t="shared" si="5"/>
        <v>311</v>
      </c>
      <c r="LB5" s="105">
        <f t="shared" si="5"/>
        <v>312</v>
      </c>
      <c r="LC5" s="105">
        <v>314</v>
      </c>
      <c r="LD5" s="105">
        <f t="shared" ref="LD5:LJ5" si="6">LC5+1</f>
        <v>315</v>
      </c>
      <c r="LE5" s="105">
        <f t="shared" si="6"/>
        <v>316</v>
      </c>
      <c r="LF5" s="105">
        <f t="shared" si="6"/>
        <v>317</v>
      </c>
      <c r="LG5" s="105">
        <f t="shared" si="6"/>
        <v>318</v>
      </c>
      <c r="LH5" s="105">
        <f t="shared" si="6"/>
        <v>319</v>
      </c>
      <c r="LI5" s="105">
        <f t="shared" si="6"/>
        <v>320</v>
      </c>
      <c r="LJ5" s="105">
        <f t="shared" si="6"/>
        <v>321</v>
      </c>
      <c r="LK5" s="105">
        <v>324</v>
      </c>
      <c r="LL5" s="105">
        <f t="shared" ref="LL5:MW5" si="7">LK5+1</f>
        <v>325</v>
      </c>
      <c r="LM5" s="105">
        <f t="shared" si="7"/>
        <v>326</v>
      </c>
      <c r="LN5" s="105">
        <f t="shared" si="7"/>
        <v>327</v>
      </c>
      <c r="LO5" s="105">
        <f t="shared" si="7"/>
        <v>328</v>
      </c>
      <c r="LP5" s="105">
        <f t="shared" si="7"/>
        <v>329</v>
      </c>
      <c r="LQ5" s="105">
        <f t="shared" si="7"/>
        <v>330</v>
      </c>
      <c r="LR5" s="105">
        <f t="shared" si="7"/>
        <v>331</v>
      </c>
      <c r="LS5" s="105">
        <f t="shared" si="7"/>
        <v>332</v>
      </c>
      <c r="LT5" s="105">
        <f t="shared" si="7"/>
        <v>333</v>
      </c>
      <c r="LU5" s="105">
        <f t="shared" si="7"/>
        <v>334</v>
      </c>
      <c r="LV5" s="105">
        <f t="shared" si="7"/>
        <v>335</v>
      </c>
      <c r="LW5" s="105">
        <f t="shared" si="7"/>
        <v>336</v>
      </c>
      <c r="LX5" s="105">
        <f t="shared" si="7"/>
        <v>337</v>
      </c>
      <c r="LY5" s="105">
        <f t="shared" si="7"/>
        <v>338</v>
      </c>
      <c r="LZ5" s="105">
        <f t="shared" si="7"/>
        <v>339</v>
      </c>
      <c r="MA5" s="105">
        <f t="shared" si="7"/>
        <v>340</v>
      </c>
      <c r="MB5" s="105">
        <f t="shared" si="7"/>
        <v>341</v>
      </c>
      <c r="MC5" s="105">
        <f t="shared" si="7"/>
        <v>342</v>
      </c>
      <c r="MD5" s="105">
        <f t="shared" si="7"/>
        <v>343</v>
      </c>
      <c r="ME5" s="105">
        <f t="shared" si="7"/>
        <v>344</v>
      </c>
      <c r="MF5" s="105">
        <f t="shared" si="7"/>
        <v>345</v>
      </c>
      <c r="MG5" s="105">
        <f t="shared" si="7"/>
        <v>346</v>
      </c>
      <c r="MH5" s="105">
        <f t="shared" si="7"/>
        <v>347</v>
      </c>
      <c r="MI5" s="105">
        <f t="shared" si="7"/>
        <v>348</v>
      </c>
      <c r="MJ5" s="105">
        <f t="shared" si="7"/>
        <v>349</v>
      </c>
      <c r="MK5" s="105">
        <f t="shared" si="7"/>
        <v>350</v>
      </c>
      <c r="ML5" s="105">
        <f t="shared" si="7"/>
        <v>351</v>
      </c>
      <c r="MM5" s="105">
        <f t="shared" si="7"/>
        <v>352</v>
      </c>
      <c r="MN5" s="105">
        <f t="shared" si="7"/>
        <v>353</v>
      </c>
      <c r="MO5" s="105">
        <f t="shared" si="7"/>
        <v>354</v>
      </c>
      <c r="MP5" s="105">
        <f t="shared" si="7"/>
        <v>355</v>
      </c>
      <c r="MQ5" s="105">
        <f t="shared" si="7"/>
        <v>356</v>
      </c>
      <c r="MR5" s="105">
        <f t="shared" si="7"/>
        <v>357</v>
      </c>
      <c r="MS5" s="105">
        <f t="shared" si="7"/>
        <v>358</v>
      </c>
      <c r="MT5" s="105">
        <f t="shared" si="7"/>
        <v>359</v>
      </c>
      <c r="MU5" s="105">
        <f t="shared" si="7"/>
        <v>360</v>
      </c>
      <c r="MV5" s="105">
        <f t="shared" si="7"/>
        <v>361</v>
      </c>
      <c r="MW5" s="105">
        <f t="shared" si="7"/>
        <v>362</v>
      </c>
      <c r="MX5" s="106"/>
    </row>
    <row r="6" spans="1:362" s="4" customFormat="1" ht="10.5" customHeight="1" thickBot="1" x14ac:dyDescent="0.25">
      <c r="A6" s="174" t="s">
        <v>508</v>
      </c>
      <c r="B6" s="175"/>
      <c r="C6" s="176"/>
      <c r="D6" s="107">
        <v>5201705</v>
      </c>
      <c r="E6" s="107">
        <v>2618532</v>
      </c>
      <c r="F6" s="107">
        <v>2675471</v>
      </c>
      <c r="G6" s="107">
        <v>5213789</v>
      </c>
      <c r="H6" s="107">
        <v>5068827</v>
      </c>
      <c r="I6" s="107">
        <v>2086999</v>
      </c>
      <c r="J6" s="107">
        <v>5170672</v>
      </c>
      <c r="K6" s="107">
        <v>2120879</v>
      </c>
      <c r="L6" s="107">
        <v>2763788</v>
      </c>
      <c r="M6" s="107">
        <v>2873575</v>
      </c>
      <c r="N6" s="107">
        <v>2848376</v>
      </c>
      <c r="O6" s="107">
        <v>2074192</v>
      </c>
      <c r="P6" s="107">
        <v>5018536</v>
      </c>
      <c r="Q6" s="107">
        <v>5118832</v>
      </c>
      <c r="R6" s="107">
        <v>2644495</v>
      </c>
      <c r="S6" s="108">
        <v>2040239</v>
      </c>
      <c r="T6" s="107">
        <v>2672146</v>
      </c>
      <c r="U6" s="108">
        <v>2766272</v>
      </c>
      <c r="V6" s="107">
        <v>2657457</v>
      </c>
      <c r="W6" s="107">
        <v>2877694</v>
      </c>
      <c r="X6" s="107">
        <v>2063352</v>
      </c>
      <c r="Y6" s="107">
        <v>2112868</v>
      </c>
      <c r="Z6" s="107">
        <v>2819627</v>
      </c>
      <c r="AA6" s="107">
        <v>2587815</v>
      </c>
      <c r="AB6" s="107">
        <v>2863847</v>
      </c>
      <c r="AC6" s="107">
        <v>2683083</v>
      </c>
      <c r="AD6" s="107">
        <v>2816555</v>
      </c>
      <c r="AE6" s="108">
        <v>5056721</v>
      </c>
      <c r="AF6" s="107">
        <v>2555409</v>
      </c>
      <c r="AG6" s="107">
        <v>2008572</v>
      </c>
      <c r="AH6" s="107">
        <v>2640635</v>
      </c>
      <c r="AI6" s="107">
        <v>2626454</v>
      </c>
      <c r="AJ6" s="108">
        <v>2844923</v>
      </c>
      <c r="AK6" s="107">
        <v>2574233</v>
      </c>
      <c r="AL6" s="107">
        <v>2774534</v>
      </c>
      <c r="AM6" s="107">
        <v>2007126</v>
      </c>
      <c r="AN6" s="107">
        <v>2609436</v>
      </c>
      <c r="AO6" s="107">
        <v>2014491</v>
      </c>
      <c r="AP6" s="107">
        <v>2551764</v>
      </c>
      <c r="AQ6" s="107">
        <v>2550075</v>
      </c>
      <c r="AR6" s="108">
        <v>2855119</v>
      </c>
      <c r="AS6" s="107">
        <v>2094533</v>
      </c>
      <c r="AT6" s="107">
        <v>2100754</v>
      </c>
      <c r="AU6" s="107">
        <v>2736381</v>
      </c>
      <c r="AV6" s="107">
        <v>5007127</v>
      </c>
      <c r="AW6" s="107">
        <v>2643928</v>
      </c>
      <c r="AX6" s="107">
        <v>2054701</v>
      </c>
      <c r="AY6" s="107">
        <v>2862468</v>
      </c>
      <c r="AZ6" s="107">
        <v>5156246</v>
      </c>
      <c r="BA6" s="107">
        <v>2765853</v>
      </c>
      <c r="BB6" s="109">
        <v>2024594</v>
      </c>
      <c r="BC6" s="109">
        <v>2086166</v>
      </c>
      <c r="BD6" s="109">
        <v>2152924</v>
      </c>
      <c r="BE6" s="109">
        <v>2682702</v>
      </c>
      <c r="BF6" s="109">
        <v>2736624</v>
      </c>
      <c r="BG6" s="109">
        <v>2061848</v>
      </c>
      <c r="BH6" s="109">
        <v>2570769</v>
      </c>
      <c r="BI6" s="109">
        <v>2544938</v>
      </c>
      <c r="BJ6" s="109">
        <v>2010933</v>
      </c>
      <c r="BK6" s="109">
        <v>2001632</v>
      </c>
      <c r="BL6" s="109">
        <v>2081547</v>
      </c>
      <c r="BM6" s="109">
        <v>5002486</v>
      </c>
      <c r="BN6" s="109">
        <v>5076021</v>
      </c>
      <c r="BO6" s="109">
        <v>5088755</v>
      </c>
      <c r="BP6" s="109">
        <v>2711834</v>
      </c>
      <c r="BQ6" s="109">
        <v>2854384</v>
      </c>
      <c r="BR6" s="109">
        <v>2169967</v>
      </c>
      <c r="BS6" s="109">
        <v>2784041</v>
      </c>
      <c r="BT6" s="109">
        <v>2558661</v>
      </c>
      <c r="BU6" s="109">
        <v>2732726</v>
      </c>
      <c r="BV6" s="109">
        <v>2844001</v>
      </c>
      <c r="BW6" s="109">
        <v>2025736</v>
      </c>
      <c r="BX6" s="109">
        <v>2571498</v>
      </c>
      <c r="BY6" s="109">
        <v>5108357</v>
      </c>
      <c r="BZ6" s="109">
        <v>2579634</v>
      </c>
      <c r="CA6" s="109">
        <v>5082986</v>
      </c>
      <c r="CB6" s="109">
        <v>2852772</v>
      </c>
      <c r="CC6" s="109">
        <v>2034859</v>
      </c>
      <c r="CD6" s="109">
        <v>2067544</v>
      </c>
      <c r="CE6" s="109">
        <v>2743744</v>
      </c>
      <c r="CF6" s="109">
        <v>2091283</v>
      </c>
      <c r="CG6" s="109">
        <v>2024101</v>
      </c>
      <c r="CH6" s="109">
        <v>2550245</v>
      </c>
      <c r="CI6" s="109">
        <v>2027615</v>
      </c>
      <c r="CJ6" s="109">
        <v>2550466</v>
      </c>
      <c r="CK6" s="109">
        <v>2848317</v>
      </c>
      <c r="CL6" s="109">
        <v>5051134</v>
      </c>
      <c r="CM6" s="109">
        <v>2095025</v>
      </c>
      <c r="CN6" s="109">
        <v>2048892</v>
      </c>
      <c r="CO6" s="109">
        <v>2554518</v>
      </c>
      <c r="CP6" s="109">
        <v>2029278</v>
      </c>
      <c r="CQ6" s="109">
        <v>2811138</v>
      </c>
      <c r="CR6" s="109">
        <v>2761114</v>
      </c>
      <c r="CS6" s="109">
        <v>2031698</v>
      </c>
      <c r="CT6" s="109">
        <v>2665603</v>
      </c>
      <c r="CU6" s="109">
        <v>2010895</v>
      </c>
      <c r="CV6" s="109">
        <v>2774666</v>
      </c>
      <c r="CW6" s="109">
        <v>5003539</v>
      </c>
      <c r="CX6" s="109">
        <v>2026236</v>
      </c>
      <c r="CY6" s="109">
        <v>2617749</v>
      </c>
      <c r="CZ6" s="109">
        <v>2618478</v>
      </c>
      <c r="DA6" s="109">
        <v>2843129</v>
      </c>
      <c r="DB6" s="109">
        <v>2628058</v>
      </c>
      <c r="DC6" s="109">
        <v>2101904</v>
      </c>
      <c r="DD6" s="109">
        <v>2841002</v>
      </c>
      <c r="DE6" s="109">
        <v>2590565</v>
      </c>
      <c r="DF6" s="109">
        <v>2105497</v>
      </c>
      <c r="DG6" s="109">
        <v>2068478</v>
      </c>
      <c r="DH6" s="109">
        <v>2587645</v>
      </c>
      <c r="DI6" s="109">
        <v>2596873</v>
      </c>
      <c r="DJ6" s="109">
        <v>4489802</v>
      </c>
      <c r="DK6" s="109">
        <v>2614065</v>
      </c>
      <c r="DL6" s="109">
        <v>2872943</v>
      </c>
      <c r="DM6" s="109">
        <v>2602504</v>
      </c>
      <c r="DN6" s="109">
        <v>2076748</v>
      </c>
      <c r="DO6" s="109">
        <v>2107961</v>
      </c>
      <c r="DP6" s="109">
        <v>2656523</v>
      </c>
      <c r="DQ6" s="109">
        <v>2867699</v>
      </c>
      <c r="DR6" s="109">
        <v>2639815</v>
      </c>
      <c r="DS6" s="109">
        <v>2051273</v>
      </c>
      <c r="DT6" s="109">
        <v>2839717</v>
      </c>
      <c r="DU6" s="109">
        <v>2582457</v>
      </c>
      <c r="DV6" s="109">
        <v>2121085</v>
      </c>
      <c r="DW6" s="109">
        <v>2344343</v>
      </c>
      <c r="DX6" s="109">
        <v>2064537</v>
      </c>
      <c r="DY6" s="109">
        <v>2819996</v>
      </c>
      <c r="DZ6" s="109">
        <v>2766868</v>
      </c>
      <c r="EA6" s="109">
        <v>2546434</v>
      </c>
      <c r="EB6" s="109">
        <v>2608758</v>
      </c>
      <c r="EC6" s="109">
        <v>2787318</v>
      </c>
      <c r="ED6" s="109">
        <v>5017386</v>
      </c>
      <c r="EE6" s="109">
        <v>9070664</v>
      </c>
      <c r="EF6" s="109">
        <v>2661128</v>
      </c>
      <c r="EG6" s="109">
        <v>2829541</v>
      </c>
      <c r="EH6" s="109">
        <v>2718375</v>
      </c>
      <c r="EI6" s="109">
        <v>2041391</v>
      </c>
      <c r="EJ6" s="110">
        <v>2549204</v>
      </c>
      <c r="EK6" s="110">
        <v>2881934</v>
      </c>
      <c r="EL6" s="110">
        <v>2019086</v>
      </c>
      <c r="EM6" s="110">
        <v>2872722</v>
      </c>
      <c r="EN6" s="110">
        <v>2548747</v>
      </c>
      <c r="EO6" s="110">
        <v>2786184</v>
      </c>
      <c r="EP6" s="110">
        <v>2641984</v>
      </c>
      <c r="EQ6" s="110">
        <v>2097109</v>
      </c>
      <c r="ER6" s="110">
        <v>2587025</v>
      </c>
      <c r="ES6" s="110">
        <v>2837196</v>
      </c>
      <c r="ET6" s="110">
        <v>2030624</v>
      </c>
      <c r="EU6" s="110">
        <v>2800497</v>
      </c>
      <c r="EV6" s="110">
        <v>2556154</v>
      </c>
      <c r="EW6" s="110">
        <v>2784904</v>
      </c>
      <c r="EX6" s="110">
        <v>2618621</v>
      </c>
      <c r="EY6" s="110">
        <v>2050374</v>
      </c>
      <c r="EZ6" s="110">
        <v>2884259</v>
      </c>
      <c r="FA6" s="110">
        <v>2072947</v>
      </c>
      <c r="FB6" s="110">
        <v>2770601</v>
      </c>
      <c r="FC6" s="110">
        <v>2830213</v>
      </c>
      <c r="FD6" s="110">
        <v>2053152</v>
      </c>
      <c r="FE6" s="110"/>
      <c r="FF6" s="110">
        <v>2649098</v>
      </c>
      <c r="FG6" s="110">
        <v>5058295</v>
      </c>
      <c r="FH6" s="110">
        <v>2834421</v>
      </c>
      <c r="FI6" s="110">
        <v>5069068</v>
      </c>
      <c r="FJ6" s="110">
        <v>2121174</v>
      </c>
      <c r="FK6" s="110">
        <v>2655772</v>
      </c>
      <c r="FL6" s="110">
        <v>2654806</v>
      </c>
      <c r="FM6" s="110">
        <v>2027194</v>
      </c>
      <c r="FN6" s="110">
        <v>2604469</v>
      </c>
      <c r="FO6" s="110">
        <v>2572036</v>
      </c>
      <c r="FP6" s="110">
        <v>2569477</v>
      </c>
      <c r="FQ6" s="110">
        <v>2075385</v>
      </c>
      <c r="FR6" s="110">
        <v>2016656</v>
      </c>
      <c r="FS6" s="110">
        <v>2073358</v>
      </c>
      <c r="FT6" s="110">
        <v>2697947</v>
      </c>
      <c r="FU6" s="110">
        <v>2788691</v>
      </c>
      <c r="FV6" s="110">
        <v>2011239</v>
      </c>
      <c r="FW6" s="110">
        <v>2019205</v>
      </c>
      <c r="FX6" s="110">
        <v>2004879</v>
      </c>
      <c r="FY6" s="110">
        <v>2787989</v>
      </c>
      <c r="FZ6" s="110">
        <v>2889439</v>
      </c>
      <c r="GA6" s="110">
        <v>2807459</v>
      </c>
      <c r="GB6" s="110">
        <v>2874229</v>
      </c>
      <c r="GC6" s="110">
        <v>2867095</v>
      </c>
      <c r="GD6" s="110">
        <v>2766337</v>
      </c>
      <c r="GE6" s="110">
        <v>2597977</v>
      </c>
      <c r="GF6" s="110">
        <v>2707969</v>
      </c>
      <c r="GG6" s="110">
        <v>5153379</v>
      </c>
      <c r="GH6" s="110">
        <v>5029953</v>
      </c>
      <c r="GI6" s="110">
        <v>5095549</v>
      </c>
      <c r="GJ6" s="110">
        <v>2857502</v>
      </c>
      <c r="GK6" s="110">
        <v>4246195</v>
      </c>
      <c r="GL6" s="110">
        <v>2825422</v>
      </c>
      <c r="GM6" s="110">
        <v>2683385</v>
      </c>
      <c r="GN6" s="110">
        <v>2842815</v>
      </c>
      <c r="GO6" s="110">
        <v>5022398</v>
      </c>
      <c r="GP6" s="110">
        <v>5170966</v>
      </c>
      <c r="GQ6" s="110">
        <v>2063182</v>
      </c>
      <c r="GR6" s="110">
        <v>2834812</v>
      </c>
      <c r="GS6" s="110">
        <v>5122392</v>
      </c>
      <c r="GT6" s="110">
        <v>5098009</v>
      </c>
      <c r="GU6" s="110">
        <v>2885425</v>
      </c>
      <c r="GV6" s="110">
        <v>2046342</v>
      </c>
      <c r="GW6" s="110">
        <v>5309808</v>
      </c>
      <c r="GX6" s="110">
        <v>5194482</v>
      </c>
      <c r="GY6" s="110">
        <v>2668548</v>
      </c>
      <c r="GZ6" s="110">
        <v>5215757</v>
      </c>
      <c r="HA6" s="110">
        <v>2663058</v>
      </c>
      <c r="HB6" s="110">
        <v>2087472</v>
      </c>
      <c r="HC6" s="110">
        <v>2700115</v>
      </c>
      <c r="HD6" s="110">
        <v>5158508</v>
      </c>
      <c r="HE6" s="110">
        <v>5109884</v>
      </c>
      <c r="HF6" s="110">
        <v>2670704</v>
      </c>
      <c r="HG6" s="110">
        <v>5203333</v>
      </c>
      <c r="HH6" s="110">
        <v>3550443</v>
      </c>
      <c r="HI6" s="110">
        <v>2595818</v>
      </c>
      <c r="HJ6" s="110">
        <v>2784262</v>
      </c>
      <c r="HK6" s="110">
        <v>2663341</v>
      </c>
      <c r="HL6" s="110">
        <v>2698161</v>
      </c>
      <c r="HM6" s="110">
        <v>5127998</v>
      </c>
      <c r="HN6" s="110">
        <v>2685841</v>
      </c>
      <c r="HO6" s="110">
        <v>5229634</v>
      </c>
      <c r="HP6" s="110">
        <v>5048486</v>
      </c>
      <c r="HQ6" s="110">
        <v>2839121</v>
      </c>
      <c r="HR6" s="110">
        <v>9173609</v>
      </c>
      <c r="HS6" s="110">
        <v>2768607</v>
      </c>
      <c r="HT6" s="110">
        <v>2503182</v>
      </c>
      <c r="HU6" s="110">
        <v>2044838</v>
      </c>
      <c r="HV6" s="110">
        <v>5233232</v>
      </c>
      <c r="HW6" s="110">
        <v>2762706</v>
      </c>
      <c r="HX6" s="110">
        <v>5229049</v>
      </c>
      <c r="HY6" s="110">
        <v>5097711</v>
      </c>
      <c r="HZ6" s="110">
        <v>2066505</v>
      </c>
      <c r="IA6" s="110">
        <v>2782944</v>
      </c>
      <c r="IB6" s="110">
        <v>5099005</v>
      </c>
      <c r="IC6" s="110">
        <v>2763834</v>
      </c>
      <c r="ID6" s="110">
        <v>2659603</v>
      </c>
      <c r="IE6" s="110">
        <v>2640287</v>
      </c>
      <c r="IF6" s="110">
        <v>5149703</v>
      </c>
      <c r="IG6" s="110">
        <v>5155827</v>
      </c>
      <c r="IH6" s="110">
        <v>2878216</v>
      </c>
      <c r="II6" s="110">
        <v>5018056</v>
      </c>
      <c r="IJ6" s="110">
        <v>2099535</v>
      </c>
      <c r="IK6" s="110">
        <v>5157846</v>
      </c>
      <c r="IL6" s="110">
        <v>5116635</v>
      </c>
      <c r="IM6" s="110">
        <v>2573253</v>
      </c>
      <c r="IN6" s="110">
        <v>2739739</v>
      </c>
      <c r="IO6" s="110">
        <v>5073642</v>
      </c>
      <c r="IP6" s="110">
        <v>2868687</v>
      </c>
      <c r="IQ6" s="110">
        <v>2890658</v>
      </c>
      <c r="IR6" s="110">
        <v>2555468</v>
      </c>
      <c r="IS6" s="110">
        <v>5084512</v>
      </c>
      <c r="IT6" s="110">
        <v>2631717</v>
      </c>
      <c r="IU6" s="110">
        <v>2779633</v>
      </c>
      <c r="IV6" s="110">
        <v>2847558</v>
      </c>
      <c r="IW6" s="110">
        <v>5231337</v>
      </c>
      <c r="IX6" s="110">
        <v>2816687</v>
      </c>
      <c r="IY6" s="110">
        <v>2607115</v>
      </c>
      <c r="IZ6" s="110">
        <v>5148278</v>
      </c>
      <c r="JA6" s="110">
        <v>2852861</v>
      </c>
      <c r="JB6" s="110">
        <v>5162629</v>
      </c>
      <c r="JC6" s="110">
        <v>5144663</v>
      </c>
      <c r="JD6" s="110">
        <v>2870312</v>
      </c>
      <c r="JE6" s="110"/>
      <c r="JF6" s="110">
        <v>2110903</v>
      </c>
      <c r="JG6" s="110">
        <v>2534169</v>
      </c>
      <c r="JH6" s="110">
        <v>5174562</v>
      </c>
      <c r="JI6" s="110">
        <v>5098181</v>
      </c>
      <c r="JJ6" s="110">
        <v>2099551</v>
      </c>
      <c r="JK6" s="110">
        <v>5149843</v>
      </c>
      <c r="JL6" s="110">
        <v>3122212</v>
      </c>
      <c r="JM6" s="110">
        <v>2874482</v>
      </c>
      <c r="JN6" s="110">
        <v>2708701</v>
      </c>
      <c r="JO6" s="110">
        <v>5023998</v>
      </c>
      <c r="JP6" s="110"/>
      <c r="JQ6" s="110">
        <v>5099854</v>
      </c>
      <c r="JR6" s="110"/>
      <c r="JS6" s="110">
        <v>5271215</v>
      </c>
      <c r="JT6" s="110">
        <v>2878992</v>
      </c>
      <c r="JU6" s="110">
        <v>5091462</v>
      </c>
      <c r="JV6" s="110">
        <v>5025982</v>
      </c>
      <c r="JW6" s="110">
        <v>2075652</v>
      </c>
      <c r="JX6" s="110"/>
      <c r="JY6" s="110">
        <v>2840391</v>
      </c>
      <c r="JZ6" s="110">
        <v>2024128</v>
      </c>
      <c r="KA6" s="110">
        <v>2813041</v>
      </c>
      <c r="KB6" s="110">
        <v>2008726</v>
      </c>
      <c r="KC6" s="110">
        <v>2578778</v>
      </c>
      <c r="KD6" s="110">
        <v>5131618</v>
      </c>
      <c r="KE6" s="110"/>
      <c r="KF6" s="110">
        <v>5089417</v>
      </c>
      <c r="KG6" s="110">
        <v>2670801</v>
      </c>
      <c r="KH6" s="110">
        <v>2587637</v>
      </c>
      <c r="KI6" s="110">
        <v>2868679</v>
      </c>
      <c r="KJ6" s="110">
        <v>2701561</v>
      </c>
      <c r="KK6" s="110">
        <v>5135958</v>
      </c>
      <c r="KL6" s="110">
        <v>2629224</v>
      </c>
      <c r="KM6" s="110">
        <v>5073189</v>
      </c>
      <c r="KN6" s="110">
        <v>2723344</v>
      </c>
      <c r="KO6" s="110">
        <v>5239168</v>
      </c>
      <c r="KP6" s="110">
        <v>2825627</v>
      </c>
      <c r="KQ6" s="110">
        <v>2649047</v>
      </c>
      <c r="KR6" s="110">
        <v>2688638</v>
      </c>
      <c r="KS6" s="110">
        <v>2851326</v>
      </c>
      <c r="KT6" s="110">
        <v>2695421</v>
      </c>
      <c r="KU6" s="110">
        <v>2880822</v>
      </c>
      <c r="KV6" s="110">
        <v>2074982</v>
      </c>
      <c r="KW6" s="110">
        <v>5141583</v>
      </c>
      <c r="KX6" s="110">
        <v>2808226</v>
      </c>
      <c r="KY6" s="110"/>
      <c r="KZ6" s="110"/>
      <c r="LA6" s="110">
        <v>5239303</v>
      </c>
      <c r="LB6" s="110">
        <v>5166284</v>
      </c>
      <c r="LC6" s="110">
        <v>5119499</v>
      </c>
      <c r="LD6" s="110">
        <v>2070731</v>
      </c>
      <c r="LE6" s="110">
        <v>2640872</v>
      </c>
      <c r="LF6" s="110">
        <v>5084555</v>
      </c>
      <c r="LG6" s="110">
        <v>2108291</v>
      </c>
      <c r="LH6" s="110">
        <v>5124778</v>
      </c>
      <c r="LI6" s="110">
        <v>5021065</v>
      </c>
      <c r="LJ6" s="110">
        <v>2614529</v>
      </c>
      <c r="LK6" s="110">
        <v>5295858</v>
      </c>
      <c r="LL6" s="110">
        <v>2596903</v>
      </c>
      <c r="LM6" s="110">
        <v>5148014</v>
      </c>
      <c r="LN6" s="110">
        <v>2045052</v>
      </c>
      <c r="LO6" s="110">
        <v>2708574</v>
      </c>
      <c r="LP6" s="110">
        <v>2856743</v>
      </c>
      <c r="LQ6" s="110">
        <v>2716682</v>
      </c>
      <c r="LR6" s="110">
        <v>2001454</v>
      </c>
      <c r="LS6" s="110">
        <v>2595567</v>
      </c>
      <c r="LT6" s="110">
        <v>5061989</v>
      </c>
      <c r="LU6" s="110">
        <v>5029066</v>
      </c>
      <c r="LV6" s="110">
        <v>2577453</v>
      </c>
      <c r="LW6" s="110">
        <v>2100231</v>
      </c>
      <c r="LX6" s="110">
        <v>2662647</v>
      </c>
      <c r="LY6" s="110">
        <v>2549832</v>
      </c>
      <c r="LZ6" s="110">
        <v>5157153</v>
      </c>
      <c r="MA6" s="110">
        <v>2498103</v>
      </c>
      <c r="MB6" s="110">
        <v>2573245</v>
      </c>
      <c r="MC6" s="110">
        <v>5090822</v>
      </c>
      <c r="MD6" s="110">
        <v>2881217</v>
      </c>
      <c r="ME6" s="110">
        <v>2009765</v>
      </c>
      <c r="MF6" s="110">
        <v>2605031</v>
      </c>
      <c r="MG6" s="110">
        <v>3550125</v>
      </c>
      <c r="MH6" s="110">
        <v>2850664</v>
      </c>
      <c r="MI6" s="110">
        <v>2740451</v>
      </c>
      <c r="MJ6" s="110">
        <v>2074478</v>
      </c>
      <c r="MK6" s="110">
        <v>2776804</v>
      </c>
      <c r="ML6" s="110">
        <v>2887746</v>
      </c>
      <c r="MM6" s="110">
        <v>2661861</v>
      </c>
      <c r="MN6" s="110">
        <v>2786893</v>
      </c>
      <c r="MO6" s="110">
        <v>2874725</v>
      </c>
      <c r="MP6" s="110">
        <v>2876965</v>
      </c>
      <c r="MQ6" s="110">
        <v>2718243</v>
      </c>
      <c r="MR6" s="110">
        <v>5074495</v>
      </c>
      <c r="MS6" s="110">
        <v>2617455</v>
      </c>
      <c r="MT6" s="110">
        <v>2025752</v>
      </c>
      <c r="MU6" s="110">
        <v>2086344</v>
      </c>
      <c r="MV6" s="110">
        <v>5184851</v>
      </c>
      <c r="MW6" s="110">
        <v>5179335</v>
      </c>
      <c r="MX6" s="111"/>
    </row>
    <row r="7" spans="1:362" ht="26.25" customHeight="1" thickBot="1" x14ac:dyDescent="0.25">
      <c r="A7" s="174" t="s">
        <v>509</v>
      </c>
      <c r="B7" s="175"/>
      <c r="C7" s="176"/>
      <c r="D7" s="177" t="s">
        <v>556</v>
      </c>
      <c r="E7" s="178" t="s">
        <v>557</v>
      </c>
      <c r="F7" s="178" t="s">
        <v>558</v>
      </c>
      <c r="G7" s="178" t="s">
        <v>559</v>
      </c>
      <c r="H7" s="178" t="s">
        <v>560</v>
      </c>
      <c r="I7" s="178" t="s">
        <v>561</v>
      </c>
      <c r="J7" s="178" t="s">
        <v>562</v>
      </c>
      <c r="K7" s="178" t="s">
        <v>563</v>
      </c>
      <c r="L7" s="178" t="s">
        <v>564</v>
      </c>
      <c r="M7" s="178" t="s">
        <v>565</v>
      </c>
      <c r="N7" s="178" t="s">
        <v>566</v>
      </c>
      <c r="O7" s="178" t="s">
        <v>567</v>
      </c>
      <c r="P7" s="178" t="s">
        <v>568</v>
      </c>
      <c r="Q7" s="178" t="s">
        <v>569</v>
      </c>
      <c r="R7" s="178" t="s">
        <v>570</v>
      </c>
      <c r="S7" s="179" t="s">
        <v>571</v>
      </c>
      <c r="T7" s="179" t="s">
        <v>572</v>
      </c>
      <c r="U7" s="179" t="s">
        <v>573</v>
      </c>
      <c r="V7" s="178" t="s">
        <v>574</v>
      </c>
      <c r="W7" s="178" t="s">
        <v>575</v>
      </c>
      <c r="X7" s="178" t="s">
        <v>576</v>
      </c>
      <c r="Y7" s="178" t="s">
        <v>577</v>
      </c>
      <c r="Z7" s="178" t="s">
        <v>578</v>
      </c>
      <c r="AA7" s="178" t="s">
        <v>579</v>
      </c>
      <c r="AB7" s="178" t="s">
        <v>580</v>
      </c>
      <c r="AC7" s="180" t="s">
        <v>581</v>
      </c>
      <c r="AD7" s="178" t="s">
        <v>582</v>
      </c>
      <c r="AE7" s="179" t="s">
        <v>583</v>
      </c>
      <c r="AF7" s="180" t="s">
        <v>584</v>
      </c>
      <c r="AG7" s="178" t="s">
        <v>459</v>
      </c>
      <c r="AH7" s="178" t="s">
        <v>585</v>
      </c>
      <c r="AI7" s="178" t="s">
        <v>586</v>
      </c>
      <c r="AJ7" s="179" t="s">
        <v>587</v>
      </c>
      <c r="AK7" s="178" t="s">
        <v>588</v>
      </c>
      <c r="AL7" s="178" t="s">
        <v>589</v>
      </c>
      <c r="AM7" s="178" t="s">
        <v>590</v>
      </c>
      <c r="AN7" s="178" t="s">
        <v>591</v>
      </c>
      <c r="AO7" s="178" t="s">
        <v>592</v>
      </c>
      <c r="AP7" s="178" t="s">
        <v>593</v>
      </c>
      <c r="AQ7" s="178" t="s">
        <v>594</v>
      </c>
      <c r="AR7" s="179" t="s">
        <v>595</v>
      </c>
      <c r="AS7" s="178" t="s">
        <v>596</v>
      </c>
      <c r="AT7" s="178" t="s">
        <v>597</v>
      </c>
      <c r="AU7" s="178" t="s">
        <v>598</v>
      </c>
      <c r="AV7" s="178" t="s">
        <v>599</v>
      </c>
      <c r="AW7" s="178" t="s">
        <v>600</v>
      </c>
      <c r="AX7" s="178" t="s">
        <v>601</v>
      </c>
      <c r="AY7" s="178" t="s">
        <v>602</v>
      </c>
      <c r="AZ7" s="178" t="s">
        <v>603</v>
      </c>
      <c r="BA7" s="178" t="s">
        <v>604</v>
      </c>
      <c r="BB7" s="178" t="s">
        <v>605</v>
      </c>
      <c r="BC7" s="178" t="s">
        <v>606</v>
      </c>
      <c r="BD7" s="178" t="s">
        <v>607</v>
      </c>
      <c r="BE7" s="178" t="s">
        <v>608</v>
      </c>
      <c r="BF7" s="178" t="s">
        <v>609</v>
      </c>
      <c r="BG7" s="178" t="s">
        <v>610</v>
      </c>
      <c r="BH7" s="178" t="s">
        <v>611</v>
      </c>
      <c r="BI7" s="178" t="s">
        <v>612</v>
      </c>
      <c r="BJ7" s="178" t="s">
        <v>613</v>
      </c>
      <c r="BK7" s="178" t="s">
        <v>614</v>
      </c>
      <c r="BL7" s="178" t="s">
        <v>615</v>
      </c>
      <c r="BM7" s="178" t="s">
        <v>616</v>
      </c>
      <c r="BN7" s="181" t="s">
        <v>617</v>
      </c>
      <c r="BO7" s="177" t="s">
        <v>623</v>
      </c>
      <c r="BP7" s="178" t="s">
        <v>624</v>
      </c>
      <c r="BQ7" s="178" t="s">
        <v>625</v>
      </c>
      <c r="BR7" s="178" t="s">
        <v>626</v>
      </c>
      <c r="BS7" s="178" t="s">
        <v>627</v>
      </c>
      <c r="BT7" s="178" t="s">
        <v>628</v>
      </c>
      <c r="BU7" s="178" t="s">
        <v>629</v>
      </c>
      <c r="BV7" s="178" t="s">
        <v>630</v>
      </c>
      <c r="BW7" s="178" t="s">
        <v>631</v>
      </c>
      <c r="BX7" s="178" t="s">
        <v>632</v>
      </c>
      <c r="BY7" s="178" t="s">
        <v>633</v>
      </c>
      <c r="BZ7" s="178" t="s">
        <v>634</v>
      </c>
      <c r="CA7" s="178" t="s">
        <v>635</v>
      </c>
      <c r="CB7" s="178" t="s">
        <v>636</v>
      </c>
      <c r="CC7" s="178" t="s">
        <v>637</v>
      </c>
      <c r="CD7" s="178" t="s">
        <v>638</v>
      </c>
      <c r="CE7" s="178" t="s">
        <v>639</v>
      </c>
      <c r="CF7" s="178" t="s">
        <v>640</v>
      </c>
      <c r="CG7" s="178" t="s">
        <v>641</v>
      </c>
      <c r="CH7" s="178" t="s">
        <v>642</v>
      </c>
      <c r="CI7" s="178" t="s">
        <v>643</v>
      </c>
      <c r="CJ7" s="178" t="s">
        <v>644</v>
      </c>
      <c r="CK7" s="178" t="s">
        <v>645</v>
      </c>
      <c r="CL7" s="178" t="s">
        <v>646</v>
      </c>
      <c r="CM7" s="178" t="s">
        <v>647</v>
      </c>
      <c r="CN7" s="178" t="s">
        <v>648</v>
      </c>
      <c r="CO7" s="178" t="s">
        <v>649</v>
      </c>
      <c r="CP7" s="178" t="s">
        <v>650</v>
      </c>
      <c r="CQ7" s="178" t="s">
        <v>651</v>
      </c>
      <c r="CR7" s="178" t="s">
        <v>652</v>
      </c>
      <c r="CS7" s="178" t="s">
        <v>653</v>
      </c>
      <c r="CT7" s="178" t="s">
        <v>654</v>
      </c>
      <c r="CU7" s="178" t="s">
        <v>655</v>
      </c>
      <c r="CV7" s="178" t="s">
        <v>656</v>
      </c>
      <c r="CW7" s="178" t="s">
        <v>657</v>
      </c>
      <c r="CX7" s="178" t="s">
        <v>658</v>
      </c>
      <c r="CY7" s="178" t="s">
        <v>659</v>
      </c>
      <c r="CZ7" s="178" t="s">
        <v>660</v>
      </c>
      <c r="DA7" s="178" t="s">
        <v>661</v>
      </c>
      <c r="DB7" s="178" t="s">
        <v>662</v>
      </c>
      <c r="DC7" s="178" t="s">
        <v>663</v>
      </c>
      <c r="DD7" s="178" t="s">
        <v>664</v>
      </c>
      <c r="DE7" s="178" t="s">
        <v>665</v>
      </c>
      <c r="DF7" s="178" t="s">
        <v>666</v>
      </c>
      <c r="DG7" s="178" t="s">
        <v>157</v>
      </c>
      <c r="DH7" s="178" t="s">
        <v>158</v>
      </c>
      <c r="DI7" s="178" t="s">
        <v>667</v>
      </c>
      <c r="DJ7" s="178" t="s">
        <v>668</v>
      </c>
      <c r="DK7" s="178" t="s">
        <v>669</v>
      </c>
      <c r="DL7" s="178" t="s">
        <v>670</v>
      </c>
      <c r="DM7" s="178" t="s">
        <v>671</v>
      </c>
      <c r="DN7" s="178" t="s">
        <v>672</v>
      </c>
      <c r="DO7" s="178" t="s">
        <v>673</v>
      </c>
      <c r="DP7" s="178" t="s">
        <v>674</v>
      </c>
      <c r="DQ7" s="178" t="s">
        <v>675</v>
      </c>
      <c r="DR7" s="178" t="s">
        <v>676</v>
      </c>
      <c r="DS7" s="178" t="s">
        <v>677</v>
      </c>
      <c r="DT7" s="178" t="s">
        <v>678</v>
      </c>
      <c r="DU7" s="178" t="s">
        <v>679</v>
      </c>
      <c r="DV7" s="178" t="s">
        <v>680</v>
      </c>
      <c r="DW7" s="177" t="s">
        <v>687</v>
      </c>
      <c r="DX7" s="178" t="s">
        <v>688</v>
      </c>
      <c r="DY7" s="178" t="s">
        <v>689</v>
      </c>
      <c r="DZ7" s="178" t="s">
        <v>690</v>
      </c>
      <c r="EA7" s="178" t="s">
        <v>691</v>
      </c>
      <c r="EB7" s="178" t="s">
        <v>692</v>
      </c>
      <c r="EC7" s="178" t="s">
        <v>693</v>
      </c>
      <c r="ED7" s="178" t="s">
        <v>694</v>
      </c>
      <c r="EE7" s="178" t="s">
        <v>695</v>
      </c>
      <c r="EF7" s="178" t="s">
        <v>696</v>
      </c>
      <c r="EG7" s="178" t="s">
        <v>697</v>
      </c>
      <c r="EH7" s="178" t="s">
        <v>698</v>
      </c>
      <c r="EI7" s="178" t="s">
        <v>699</v>
      </c>
      <c r="EJ7" s="187" t="s">
        <v>700</v>
      </c>
      <c r="EK7" s="187" t="s">
        <v>701</v>
      </c>
      <c r="EL7" s="187" t="s">
        <v>702</v>
      </c>
      <c r="EM7" s="187" t="s">
        <v>703</v>
      </c>
      <c r="EN7" s="179" t="s">
        <v>704</v>
      </c>
      <c r="EO7" s="187" t="s">
        <v>705</v>
      </c>
      <c r="EP7" s="179" t="s">
        <v>706</v>
      </c>
      <c r="EQ7" s="187" t="s">
        <v>707</v>
      </c>
      <c r="ER7" s="187" t="s">
        <v>708</v>
      </c>
      <c r="ES7" s="187" t="s">
        <v>709</v>
      </c>
      <c r="ET7" s="179" t="s">
        <v>710</v>
      </c>
      <c r="EU7" s="179" t="s">
        <v>711</v>
      </c>
      <c r="EV7" s="187" t="s">
        <v>712</v>
      </c>
      <c r="EW7" s="187" t="s">
        <v>713</v>
      </c>
      <c r="EX7" s="187" t="s">
        <v>714</v>
      </c>
      <c r="EY7" s="187" t="s">
        <v>715</v>
      </c>
      <c r="EZ7" s="187" t="s">
        <v>716</v>
      </c>
      <c r="FA7" s="187" t="s">
        <v>717</v>
      </c>
      <c r="FB7" s="179" t="s">
        <v>718</v>
      </c>
      <c r="FC7" s="187" t="s">
        <v>719</v>
      </c>
      <c r="FD7" s="187" t="s">
        <v>720</v>
      </c>
      <c r="FE7" s="179" t="s">
        <v>721</v>
      </c>
      <c r="FF7" s="187" t="s">
        <v>722</v>
      </c>
      <c r="FG7" s="187" t="s">
        <v>723</v>
      </c>
      <c r="FH7" s="187" t="s">
        <v>724</v>
      </c>
      <c r="FI7" s="187" t="s">
        <v>725</v>
      </c>
      <c r="FJ7" s="187" t="s">
        <v>726</v>
      </c>
      <c r="FK7" s="179" t="s">
        <v>727</v>
      </c>
      <c r="FL7" s="179" t="s">
        <v>728</v>
      </c>
      <c r="FM7" s="187" t="s">
        <v>729</v>
      </c>
      <c r="FN7" s="187" t="s">
        <v>730</v>
      </c>
      <c r="FO7" s="187" t="s">
        <v>731</v>
      </c>
      <c r="FP7" s="179" t="s">
        <v>732</v>
      </c>
      <c r="FQ7" s="180" t="s">
        <v>733</v>
      </c>
      <c r="FR7" s="179" t="s">
        <v>469</v>
      </c>
      <c r="FS7" s="179" t="s">
        <v>734</v>
      </c>
      <c r="FT7" s="179" t="s">
        <v>735</v>
      </c>
      <c r="FU7" s="179" t="s">
        <v>736</v>
      </c>
      <c r="FV7" s="179" t="s">
        <v>737</v>
      </c>
      <c r="FW7" s="179" t="s">
        <v>738</v>
      </c>
      <c r="FX7" s="179" t="s">
        <v>739</v>
      </c>
      <c r="FY7" s="179" t="s">
        <v>740</v>
      </c>
      <c r="FZ7" s="179" t="s">
        <v>741</v>
      </c>
      <c r="GA7" s="192" t="s">
        <v>742</v>
      </c>
      <c r="GB7" s="179" t="s">
        <v>743</v>
      </c>
      <c r="GC7" s="179" t="s">
        <v>744</v>
      </c>
      <c r="GD7" s="179" t="s">
        <v>745</v>
      </c>
      <c r="GE7" s="179" t="s">
        <v>271</v>
      </c>
      <c r="GF7" s="179" t="s">
        <v>272</v>
      </c>
      <c r="GG7" s="179" t="s">
        <v>274</v>
      </c>
      <c r="GH7" s="179" t="s">
        <v>276</v>
      </c>
      <c r="GI7" s="179" t="s">
        <v>277</v>
      </c>
      <c r="GJ7" s="179" t="s">
        <v>467</v>
      </c>
      <c r="GK7" s="179" t="s">
        <v>279</v>
      </c>
      <c r="GL7" s="179" t="s">
        <v>281</v>
      </c>
      <c r="GM7" s="179" t="s">
        <v>283</v>
      </c>
      <c r="GN7" s="179" t="s">
        <v>285</v>
      </c>
      <c r="GO7" s="179" t="s">
        <v>286</v>
      </c>
      <c r="GP7" s="179" t="s">
        <v>288</v>
      </c>
      <c r="GQ7" s="179" t="s">
        <v>289</v>
      </c>
      <c r="GR7" s="179" t="s">
        <v>291</v>
      </c>
      <c r="GS7" s="179" t="s">
        <v>292</v>
      </c>
      <c r="GT7" s="179" t="s">
        <v>294</v>
      </c>
      <c r="GU7" s="179" t="s">
        <v>304</v>
      </c>
      <c r="GV7" s="179" t="s">
        <v>305</v>
      </c>
      <c r="GW7" s="179" t="s">
        <v>306</v>
      </c>
      <c r="GX7" s="179" t="s">
        <v>307</v>
      </c>
      <c r="GY7" s="179" t="s">
        <v>308</v>
      </c>
      <c r="GZ7" s="179" t="s">
        <v>309</v>
      </c>
      <c r="HA7" s="179" t="s">
        <v>311</v>
      </c>
      <c r="HB7" s="179" t="s">
        <v>313</v>
      </c>
      <c r="HC7" s="179" t="s">
        <v>314</v>
      </c>
      <c r="HD7" s="179" t="s">
        <v>316</v>
      </c>
      <c r="HE7" s="179" t="s">
        <v>317</v>
      </c>
      <c r="HF7" s="179" t="s">
        <v>318</v>
      </c>
      <c r="HG7" s="179" t="s">
        <v>319</v>
      </c>
      <c r="HH7" s="179" t="s">
        <v>320</v>
      </c>
      <c r="HI7" s="179" t="s">
        <v>322</v>
      </c>
      <c r="HJ7" s="179" t="s">
        <v>323</v>
      </c>
      <c r="HK7" s="179" t="s">
        <v>324</v>
      </c>
      <c r="HL7" s="179" t="s">
        <v>325</v>
      </c>
      <c r="HM7" s="179" t="s">
        <v>326</v>
      </c>
      <c r="HN7" s="179" t="s">
        <v>327</v>
      </c>
      <c r="HO7" s="179" t="s">
        <v>328</v>
      </c>
      <c r="HP7" s="179" t="s">
        <v>330</v>
      </c>
      <c r="HQ7" s="179" t="s">
        <v>331</v>
      </c>
      <c r="HR7" s="179" t="s">
        <v>333</v>
      </c>
      <c r="HS7" s="179" t="s">
        <v>335</v>
      </c>
      <c r="HT7" s="179" t="s">
        <v>336</v>
      </c>
      <c r="HU7" s="179" t="s">
        <v>337</v>
      </c>
      <c r="HV7" s="179" t="s">
        <v>338</v>
      </c>
      <c r="HW7" s="179" t="s">
        <v>339</v>
      </c>
      <c r="HX7" s="179" t="s">
        <v>340</v>
      </c>
      <c r="HY7" s="179" t="s">
        <v>341</v>
      </c>
      <c r="HZ7" s="179" t="s">
        <v>342</v>
      </c>
      <c r="IA7" s="179" t="s">
        <v>343</v>
      </c>
      <c r="IB7" s="179" t="s">
        <v>344</v>
      </c>
      <c r="IC7" s="179" t="s">
        <v>345</v>
      </c>
      <c r="ID7" s="179" t="s">
        <v>346</v>
      </c>
      <c r="IE7" s="179" t="s">
        <v>465</v>
      </c>
      <c r="IF7" s="179" t="s">
        <v>347</v>
      </c>
      <c r="IG7" s="179" t="s">
        <v>348</v>
      </c>
      <c r="IH7" s="179" t="s">
        <v>349</v>
      </c>
      <c r="II7" s="112" t="s">
        <v>350</v>
      </c>
      <c r="IJ7" s="112" t="s">
        <v>351</v>
      </c>
      <c r="IK7" s="112" t="s">
        <v>352</v>
      </c>
      <c r="IL7" s="112" t="s">
        <v>353</v>
      </c>
      <c r="IM7" s="112" t="s">
        <v>354</v>
      </c>
      <c r="IN7" s="112" t="s">
        <v>355</v>
      </c>
      <c r="IO7" s="112" t="s">
        <v>356</v>
      </c>
      <c r="IP7" s="112" t="s">
        <v>357</v>
      </c>
      <c r="IQ7" s="112" t="s">
        <v>358</v>
      </c>
      <c r="IR7" s="112" t="s">
        <v>359</v>
      </c>
      <c r="IS7" s="112" t="s">
        <v>360</v>
      </c>
      <c r="IT7" s="112" t="s">
        <v>361</v>
      </c>
      <c r="IU7" s="112" t="s">
        <v>362</v>
      </c>
      <c r="IV7" s="112" t="s">
        <v>363</v>
      </c>
      <c r="IW7" s="112" t="s">
        <v>364</v>
      </c>
      <c r="IX7" s="112" t="s">
        <v>365</v>
      </c>
      <c r="IY7" s="112" t="s">
        <v>366</v>
      </c>
      <c r="IZ7" s="112" t="s">
        <v>367</v>
      </c>
      <c r="JA7" s="112" t="s">
        <v>368</v>
      </c>
      <c r="JB7" s="112" t="s">
        <v>369</v>
      </c>
      <c r="JC7" s="112" t="s">
        <v>370</v>
      </c>
      <c r="JD7" s="112" t="s">
        <v>371</v>
      </c>
      <c r="JE7" s="112" t="s">
        <v>372</v>
      </c>
      <c r="JF7" s="112" t="s">
        <v>373</v>
      </c>
      <c r="JG7" s="112" t="s">
        <v>374</v>
      </c>
      <c r="JH7" s="112" t="s">
        <v>376</v>
      </c>
      <c r="JI7" s="112" t="s">
        <v>375</v>
      </c>
      <c r="JJ7" s="112" t="s">
        <v>296</v>
      </c>
      <c r="JK7" s="112" t="s">
        <v>297</v>
      </c>
      <c r="JL7" s="112" t="s">
        <v>377</v>
      </c>
      <c r="JM7" s="112" t="s">
        <v>298</v>
      </c>
      <c r="JN7" s="112" t="s">
        <v>299</v>
      </c>
      <c r="JO7" s="112" t="s">
        <v>300</v>
      </c>
      <c r="JP7" s="112" t="s">
        <v>378</v>
      </c>
      <c r="JQ7" s="112" t="s">
        <v>301</v>
      </c>
      <c r="JR7" s="112" t="s">
        <v>379</v>
      </c>
      <c r="JS7" s="112" t="s">
        <v>380</v>
      </c>
      <c r="JT7" s="112" t="s">
        <v>381</v>
      </c>
      <c r="JU7" s="112" t="s">
        <v>302</v>
      </c>
      <c r="JV7" s="112" t="s">
        <v>382</v>
      </c>
      <c r="JW7" s="112" t="s">
        <v>303</v>
      </c>
      <c r="JX7" s="112" t="s">
        <v>468</v>
      </c>
      <c r="JY7" s="112" t="s">
        <v>383</v>
      </c>
      <c r="JZ7" s="112" t="s">
        <v>384</v>
      </c>
      <c r="KA7" s="112" t="s">
        <v>385</v>
      </c>
      <c r="KB7" s="112" t="s">
        <v>388</v>
      </c>
      <c r="KC7" s="112" t="s">
        <v>387</v>
      </c>
      <c r="KD7" s="112" t="s">
        <v>386</v>
      </c>
      <c r="KE7" s="112" t="s">
        <v>389</v>
      </c>
      <c r="KF7" s="112" t="s">
        <v>390</v>
      </c>
      <c r="KG7" s="112" t="s">
        <v>394</v>
      </c>
      <c r="KH7" s="112" t="s">
        <v>393</v>
      </c>
      <c r="KI7" s="112" t="s">
        <v>392</v>
      </c>
      <c r="KJ7" s="112" t="s">
        <v>391</v>
      </c>
      <c r="KK7" s="112" t="s">
        <v>395</v>
      </c>
      <c r="KL7" s="112" t="s">
        <v>471</v>
      </c>
      <c r="KM7" s="112" t="s">
        <v>396</v>
      </c>
      <c r="KN7" s="112" t="s">
        <v>397</v>
      </c>
      <c r="KO7" s="113" t="s">
        <v>398</v>
      </c>
      <c r="KP7" s="112" t="s">
        <v>399</v>
      </c>
      <c r="KQ7" s="112" t="s">
        <v>400</v>
      </c>
      <c r="KR7" s="112" t="s">
        <v>401</v>
      </c>
      <c r="KS7" s="112" t="s">
        <v>405</v>
      </c>
      <c r="KT7" s="112" t="s">
        <v>404</v>
      </c>
      <c r="KU7" s="112" t="s">
        <v>403</v>
      </c>
      <c r="KV7" s="112" t="s">
        <v>402</v>
      </c>
      <c r="KW7" s="112" t="s">
        <v>466</v>
      </c>
      <c r="KX7" s="112" t="s">
        <v>406</v>
      </c>
      <c r="KY7" s="112" t="s">
        <v>407</v>
      </c>
      <c r="KZ7" s="112" t="s">
        <v>408</v>
      </c>
      <c r="LA7" s="112" t="s">
        <v>409</v>
      </c>
      <c r="LB7" s="112" t="s">
        <v>410</v>
      </c>
      <c r="LC7" s="112" t="s">
        <v>418</v>
      </c>
      <c r="LD7" s="112" t="s">
        <v>417</v>
      </c>
      <c r="LE7" s="112" t="s">
        <v>416</v>
      </c>
      <c r="LF7" s="112" t="s">
        <v>415</v>
      </c>
      <c r="LG7" s="112" t="s">
        <v>414</v>
      </c>
      <c r="LH7" s="112" t="s">
        <v>413</v>
      </c>
      <c r="LI7" s="112" t="s">
        <v>412</v>
      </c>
      <c r="LJ7" s="112" t="s">
        <v>411</v>
      </c>
      <c r="LK7" s="112" t="s">
        <v>427</v>
      </c>
      <c r="LL7" s="112" t="s">
        <v>426</v>
      </c>
      <c r="LM7" s="112" t="s">
        <v>425</v>
      </c>
      <c r="LN7" s="112" t="s">
        <v>424</v>
      </c>
      <c r="LO7" s="112" t="s">
        <v>423</v>
      </c>
      <c r="LP7" s="112" t="s">
        <v>422</v>
      </c>
      <c r="LQ7" s="112" t="s">
        <v>421</v>
      </c>
      <c r="LR7" s="112" t="s">
        <v>420</v>
      </c>
      <c r="LS7" s="112" t="s">
        <v>419</v>
      </c>
      <c r="LT7" s="112" t="s">
        <v>436</v>
      </c>
      <c r="LU7" s="112" t="s">
        <v>435</v>
      </c>
      <c r="LV7" s="112" t="s">
        <v>434</v>
      </c>
      <c r="LW7" s="112" t="s">
        <v>433</v>
      </c>
      <c r="LX7" s="112" t="s">
        <v>432</v>
      </c>
      <c r="LY7" s="112" t="s">
        <v>431</v>
      </c>
      <c r="LZ7" s="112" t="s">
        <v>430</v>
      </c>
      <c r="MA7" s="112" t="s">
        <v>429</v>
      </c>
      <c r="MB7" s="112" t="s">
        <v>428</v>
      </c>
      <c r="MC7" s="112" t="s">
        <v>445</v>
      </c>
      <c r="MD7" s="112" t="s">
        <v>444</v>
      </c>
      <c r="ME7" s="112" t="s">
        <v>443</v>
      </c>
      <c r="MF7" s="112" t="s">
        <v>442</v>
      </c>
      <c r="MG7" s="112" t="s">
        <v>441</v>
      </c>
      <c r="MH7" s="112" t="s">
        <v>440</v>
      </c>
      <c r="MI7" s="112" t="s">
        <v>439</v>
      </c>
      <c r="MJ7" s="112" t="s">
        <v>438</v>
      </c>
      <c r="MK7" s="112" t="s">
        <v>437</v>
      </c>
      <c r="ML7" s="112" t="s">
        <v>454</v>
      </c>
      <c r="MM7" s="112" t="s">
        <v>453</v>
      </c>
      <c r="MN7" s="112" t="s">
        <v>452</v>
      </c>
      <c r="MO7" s="112" t="s">
        <v>451</v>
      </c>
      <c r="MP7" s="112" t="s">
        <v>450</v>
      </c>
      <c r="MQ7" s="112" t="s">
        <v>449</v>
      </c>
      <c r="MR7" s="112" t="s">
        <v>448</v>
      </c>
      <c r="MS7" s="112" t="s">
        <v>447</v>
      </c>
      <c r="MT7" s="112" t="s">
        <v>446</v>
      </c>
      <c r="MU7" s="112" t="s">
        <v>455</v>
      </c>
      <c r="MV7" s="112" t="s">
        <v>457</v>
      </c>
      <c r="MW7" s="112" t="s">
        <v>456</v>
      </c>
      <c r="MX7" s="114"/>
    </row>
    <row r="8" spans="1:362" s="7" customFormat="1" ht="19.5" customHeight="1" thickBot="1" x14ac:dyDescent="0.25">
      <c r="A8" s="174" t="s">
        <v>510</v>
      </c>
      <c r="B8" s="175"/>
      <c r="C8" s="176"/>
      <c r="D8" s="182" t="s">
        <v>295</v>
      </c>
      <c r="E8" s="183" t="s">
        <v>287</v>
      </c>
      <c r="F8" s="183" t="s">
        <v>295</v>
      </c>
      <c r="G8" s="183" t="s">
        <v>282</v>
      </c>
      <c r="H8" s="183" t="s">
        <v>287</v>
      </c>
      <c r="I8" s="183" t="s">
        <v>618</v>
      </c>
      <c r="J8" s="183" t="s">
        <v>287</v>
      </c>
      <c r="K8" s="183" t="s">
        <v>315</v>
      </c>
      <c r="L8" s="183" t="s">
        <v>295</v>
      </c>
      <c r="M8" s="183" t="s">
        <v>287</v>
      </c>
      <c r="N8" s="183" t="s">
        <v>315</v>
      </c>
      <c r="O8" s="183" t="s">
        <v>275</v>
      </c>
      <c r="P8" s="183" t="s">
        <v>287</v>
      </c>
      <c r="Q8" s="183" t="s">
        <v>618</v>
      </c>
      <c r="R8" s="183" t="s">
        <v>619</v>
      </c>
      <c r="S8" s="159" t="s">
        <v>282</v>
      </c>
      <c r="T8" s="164" t="s">
        <v>282</v>
      </c>
      <c r="U8" s="183" t="s">
        <v>315</v>
      </c>
      <c r="V8" s="183" t="s">
        <v>275</v>
      </c>
      <c r="W8" s="183" t="s">
        <v>295</v>
      </c>
      <c r="X8" s="183" t="s">
        <v>278</v>
      </c>
      <c r="Y8" s="154" t="s">
        <v>275</v>
      </c>
      <c r="Z8" s="183" t="s">
        <v>278</v>
      </c>
      <c r="AA8" s="183" t="s">
        <v>620</v>
      </c>
      <c r="AB8" s="183" t="s">
        <v>275</v>
      </c>
      <c r="AC8" s="183" t="s">
        <v>332</v>
      </c>
      <c r="AD8" s="154" t="s">
        <v>315</v>
      </c>
      <c r="AE8" s="154" t="s">
        <v>287</v>
      </c>
      <c r="AF8" s="183" t="s">
        <v>620</v>
      </c>
      <c r="AG8" s="183" t="s">
        <v>275</v>
      </c>
      <c r="AH8" s="183" t="s">
        <v>315</v>
      </c>
      <c r="AI8" s="183" t="s">
        <v>620</v>
      </c>
      <c r="AJ8" s="154" t="s">
        <v>287</v>
      </c>
      <c r="AK8" s="154" t="s">
        <v>620</v>
      </c>
      <c r="AL8" s="183" t="s">
        <v>282</v>
      </c>
      <c r="AM8" s="183" t="s">
        <v>334</v>
      </c>
      <c r="AN8" s="183" t="s">
        <v>295</v>
      </c>
      <c r="AO8" s="183" t="s">
        <v>321</v>
      </c>
      <c r="AP8" s="183" t="s">
        <v>619</v>
      </c>
      <c r="AQ8" s="183" t="s">
        <v>287</v>
      </c>
      <c r="AR8" s="154" t="s">
        <v>295</v>
      </c>
      <c r="AS8" s="183" t="s">
        <v>275</v>
      </c>
      <c r="AT8" s="183" t="s">
        <v>287</v>
      </c>
      <c r="AU8" s="183" t="s">
        <v>463</v>
      </c>
      <c r="AV8" s="183" t="s">
        <v>287</v>
      </c>
      <c r="AW8" s="183" t="s">
        <v>619</v>
      </c>
      <c r="AX8" s="183" t="s">
        <v>275</v>
      </c>
      <c r="AY8" s="183" t="s">
        <v>287</v>
      </c>
      <c r="AZ8" s="183" t="s">
        <v>315</v>
      </c>
      <c r="BA8" s="183" t="s">
        <v>282</v>
      </c>
      <c r="BB8" s="184" t="s">
        <v>284</v>
      </c>
      <c r="BC8" s="184" t="s">
        <v>278</v>
      </c>
      <c r="BD8" s="184" t="s">
        <v>458</v>
      </c>
      <c r="BE8" s="184" t="s">
        <v>284</v>
      </c>
      <c r="BF8" s="184" t="s">
        <v>284</v>
      </c>
      <c r="BG8" s="184" t="s">
        <v>295</v>
      </c>
      <c r="BH8" s="183" t="s">
        <v>620</v>
      </c>
      <c r="BI8" s="183" t="s">
        <v>620</v>
      </c>
      <c r="BJ8" s="184" t="s">
        <v>460</v>
      </c>
      <c r="BK8" s="184" t="s">
        <v>621</v>
      </c>
      <c r="BL8" s="183" t="s">
        <v>287</v>
      </c>
      <c r="BM8" s="184" t="s">
        <v>282</v>
      </c>
      <c r="BN8" s="185" t="s">
        <v>278</v>
      </c>
      <c r="BO8" s="186" t="s">
        <v>282</v>
      </c>
      <c r="BP8" s="184" t="s">
        <v>329</v>
      </c>
      <c r="BQ8" s="184" t="s">
        <v>282</v>
      </c>
      <c r="BR8" s="184" t="s">
        <v>284</v>
      </c>
      <c r="BS8" s="184" t="s">
        <v>278</v>
      </c>
      <c r="BT8" s="184" t="s">
        <v>282</v>
      </c>
      <c r="BU8" s="184" t="s">
        <v>329</v>
      </c>
      <c r="BV8" s="184" t="s">
        <v>681</v>
      </c>
      <c r="BW8" s="184" t="s">
        <v>458</v>
      </c>
      <c r="BX8" s="183" t="s">
        <v>620</v>
      </c>
      <c r="BY8" s="184" t="s">
        <v>282</v>
      </c>
      <c r="BZ8" s="183" t="s">
        <v>620</v>
      </c>
      <c r="CA8" s="183" t="s">
        <v>287</v>
      </c>
      <c r="CB8" s="183" t="s">
        <v>620</v>
      </c>
      <c r="CC8" s="184" t="s">
        <v>682</v>
      </c>
      <c r="CD8" s="184" t="s">
        <v>315</v>
      </c>
      <c r="CE8" s="184" t="s">
        <v>310</v>
      </c>
      <c r="CF8" s="184" t="s">
        <v>315</v>
      </c>
      <c r="CG8" s="184" t="s">
        <v>284</v>
      </c>
      <c r="CH8" s="183" t="s">
        <v>620</v>
      </c>
      <c r="CI8" s="184" t="s">
        <v>275</v>
      </c>
      <c r="CJ8" s="184" t="s">
        <v>275</v>
      </c>
      <c r="CK8" s="183" t="s">
        <v>620</v>
      </c>
      <c r="CL8" s="184"/>
      <c r="CM8" s="184" t="s">
        <v>275</v>
      </c>
      <c r="CN8" s="184" t="s">
        <v>683</v>
      </c>
      <c r="CO8" s="184" t="s">
        <v>683</v>
      </c>
      <c r="CP8" s="184" t="s">
        <v>683</v>
      </c>
      <c r="CQ8" s="184" t="s">
        <v>282</v>
      </c>
      <c r="CR8" s="184" t="s">
        <v>282</v>
      </c>
      <c r="CS8" s="184" t="s">
        <v>310</v>
      </c>
      <c r="CT8" s="184" t="s">
        <v>278</v>
      </c>
      <c r="CU8" s="184" t="s">
        <v>460</v>
      </c>
      <c r="CV8" s="184" t="s">
        <v>282</v>
      </c>
      <c r="CW8" s="183" t="s">
        <v>287</v>
      </c>
      <c r="CX8" s="184" t="s">
        <v>458</v>
      </c>
      <c r="CY8" s="184" t="s">
        <v>295</v>
      </c>
      <c r="CZ8" s="184" t="s">
        <v>315</v>
      </c>
      <c r="DA8" s="184" t="s">
        <v>282</v>
      </c>
      <c r="DB8" s="184" t="s">
        <v>278</v>
      </c>
      <c r="DC8" s="184" t="s">
        <v>295</v>
      </c>
      <c r="DD8" s="183" t="s">
        <v>620</v>
      </c>
      <c r="DE8" s="183" t="s">
        <v>287</v>
      </c>
      <c r="DF8" s="184" t="s">
        <v>684</v>
      </c>
      <c r="DG8" s="184" t="s">
        <v>685</v>
      </c>
      <c r="DH8" s="183" t="s">
        <v>620</v>
      </c>
      <c r="DI8" s="184" t="s">
        <v>282</v>
      </c>
      <c r="DJ8" s="184" t="s">
        <v>458</v>
      </c>
      <c r="DK8" s="184" t="s">
        <v>329</v>
      </c>
      <c r="DL8" s="184" t="s">
        <v>282</v>
      </c>
      <c r="DM8" s="184" t="s">
        <v>280</v>
      </c>
      <c r="DN8" s="184" t="s">
        <v>460</v>
      </c>
      <c r="DO8" s="184" t="s">
        <v>329</v>
      </c>
      <c r="DP8" s="184" t="s">
        <v>295</v>
      </c>
      <c r="DQ8" s="184" t="s">
        <v>282</v>
      </c>
      <c r="DR8" s="184" t="s">
        <v>273</v>
      </c>
      <c r="DS8" s="184" t="s">
        <v>284</v>
      </c>
      <c r="DT8" s="183" t="s">
        <v>287</v>
      </c>
      <c r="DU8" s="184" t="s">
        <v>295</v>
      </c>
      <c r="DV8" s="184" t="s">
        <v>621</v>
      </c>
      <c r="DW8" s="186" t="s">
        <v>460</v>
      </c>
      <c r="DX8" s="184" t="s">
        <v>278</v>
      </c>
      <c r="DY8" s="184" t="s">
        <v>684</v>
      </c>
      <c r="DZ8" s="183" t="s">
        <v>315</v>
      </c>
      <c r="EA8" s="184" t="s">
        <v>278</v>
      </c>
      <c r="EB8" s="184" t="s">
        <v>282</v>
      </c>
      <c r="EC8" s="183" t="s">
        <v>287</v>
      </c>
      <c r="ED8" s="184" t="s">
        <v>278</v>
      </c>
      <c r="EE8" s="184" t="s">
        <v>682</v>
      </c>
      <c r="EF8" s="184" t="s">
        <v>681</v>
      </c>
      <c r="EG8" s="183" t="s">
        <v>620</v>
      </c>
      <c r="EH8" s="184" t="s">
        <v>458</v>
      </c>
      <c r="EI8" s="184" t="s">
        <v>282</v>
      </c>
      <c r="EJ8" s="188" t="s">
        <v>310</v>
      </c>
      <c r="EK8" s="154" t="s">
        <v>315</v>
      </c>
      <c r="EL8" s="188" t="s">
        <v>329</v>
      </c>
      <c r="EM8" s="188" t="s">
        <v>282</v>
      </c>
      <c r="EN8" s="188" t="s">
        <v>275</v>
      </c>
      <c r="EO8" s="154" t="s">
        <v>315</v>
      </c>
      <c r="EP8" s="188" t="s">
        <v>275</v>
      </c>
      <c r="EQ8" s="154" t="s">
        <v>287</v>
      </c>
      <c r="ER8" s="154" t="s">
        <v>287</v>
      </c>
      <c r="ES8" s="154" t="s">
        <v>278</v>
      </c>
      <c r="ET8" s="154" t="s">
        <v>684</v>
      </c>
      <c r="EU8" s="154" t="s">
        <v>282</v>
      </c>
      <c r="EV8" s="154" t="s">
        <v>329</v>
      </c>
      <c r="EW8" s="154" t="s">
        <v>282</v>
      </c>
      <c r="EX8" s="154" t="s">
        <v>287</v>
      </c>
      <c r="EY8" s="154" t="s">
        <v>284</v>
      </c>
      <c r="EZ8" s="188" t="s">
        <v>278</v>
      </c>
      <c r="FA8" s="188" t="s">
        <v>275</v>
      </c>
      <c r="FB8" s="188" t="s">
        <v>278</v>
      </c>
      <c r="FC8" s="188" t="s">
        <v>460</v>
      </c>
      <c r="FD8" s="188" t="s">
        <v>310</v>
      </c>
      <c r="FE8" s="188"/>
      <c r="FF8" s="189" t="s">
        <v>329</v>
      </c>
      <c r="FG8" s="190" t="s">
        <v>287</v>
      </c>
      <c r="FH8" s="188" t="s">
        <v>315</v>
      </c>
      <c r="FI8" s="154" t="s">
        <v>287</v>
      </c>
      <c r="FJ8" s="188" t="s">
        <v>621</v>
      </c>
      <c r="FK8" s="154" t="s">
        <v>287</v>
      </c>
      <c r="FL8" s="188" t="s">
        <v>282</v>
      </c>
      <c r="FM8" s="154" t="s">
        <v>620</v>
      </c>
      <c r="FN8" s="188" t="s">
        <v>458</v>
      </c>
      <c r="FO8" s="188" t="s">
        <v>282</v>
      </c>
      <c r="FP8" s="188" t="s">
        <v>295</v>
      </c>
      <c r="FQ8" s="188" t="s">
        <v>275</v>
      </c>
      <c r="FR8" s="188" t="s">
        <v>275</v>
      </c>
      <c r="FS8" s="188" t="s">
        <v>275</v>
      </c>
      <c r="FT8" s="188" t="s">
        <v>275</v>
      </c>
      <c r="FU8" s="188" t="s">
        <v>275</v>
      </c>
      <c r="FV8" s="188" t="s">
        <v>460</v>
      </c>
      <c r="FW8" s="154" t="s">
        <v>287</v>
      </c>
      <c r="FX8" s="188" t="s">
        <v>461</v>
      </c>
      <c r="FY8" s="188" t="s">
        <v>278</v>
      </c>
      <c r="FZ8" s="154" t="s">
        <v>315</v>
      </c>
      <c r="GA8" s="193" t="s">
        <v>746</v>
      </c>
      <c r="GB8" s="188" t="s">
        <v>295</v>
      </c>
      <c r="GC8" s="154" t="s">
        <v>287</v>
      </c>
      <c r="GD8" s="188" t="s">
        <v>275</v>
      </c>
      <c r="GE8" s="188" t="s">
        <v>275</v>
      </c>
      <c r="GF8" s="188" t="s">
        <v>273</v>
      </c>
      <c r="GG8" s="188" t="s">
        <v>275</v>
      </c>
      <c r="GH8" s="188" t="s">
        <v>275</v>
      </c>
      <c r="GI8" s="188" t="s">
        <v>278</v>
      </c>
      <c r="GJ8" s="188" t="s">
        <v>278</v>
      </c>
      <c r="GK8" s="188" t="s">
        <v>280</v>
      </c>
      <c r="GL8" s="188" t="s">
        <v>282</v>
      </c>
      <c r="GM8" s="188" t="s">
        <v>284</v>
      </c>
      <c r="GN8" s="188" t="s">
        <v>280</v>
      </c>
      <c r="GO8" s="154" t="s">
        <v>287</v>
      </c>
      <c r="GP8" s="188" t="s">
        <v>270</v>
      </c>
      <c r="GQ8" s="188" t="s">
        <v>290</v>
      </c>
      <c r="GR8" s="188" t="s">
        <v>278</v>
      </c>
      <c r="GS8" s="188" t="s">
        <v>293</v>
      </c>
      <c r="GT8" s="188" t="s">
        <v>295</v>
      </c>
      <c r="GU8" s="154" t="s">
        <v>287</v>
      </c>
      <c r="GV8" s="188" t="s">
        <v>282</v>
      </c>
      <c r="GW8" s="154" t="s">
        <v>287</v>
      </c>
      <c r="GX8" s="188" t="s">
        <v>275</v>
      </c>
      <c r="GY8" s="188" t="s">
        <v>280</v>
      </c>
      <c r="GZ8" s="188" t="s">
        <v>310</v>
      </c>
      <c r="HA8" s="188" t="s">
        <v>312</v>
      </c>
      <c r="HB8" s="154" t="s">
        <v>287</v>
      </c>
      <c r="HC8" s="154" t="s">
        <v>315</v>
      </c>
      <c r="HD8" s="154" t="s">
        <v>287</v>
      </c>
      <c r="HE8" s="188" t="s">
        <v>278</v>
      </c>
      <c r="HF8" s="188" t="s">
        <v>282</v>
      </c>
      <c r="HG8" s="188" t="s">
        <v>295</v>
      </c>
      <c r="HH8" s="188" t="s">
        <v>321</v>
      </c>
      <c r="HI8" s="154" t="s">
        <v>315</v>
      </c>
      <c r="HJ8" s="154" t="s">
        <v>287</v>
      </c>
      <c r="HK8" s="154" t="s">
        <v>287</v>
      </c>
      <c r="HL8" s="188" t="s">
        <v>282</v>
      </c>
      <c r="HM8" s="154" t="s">
        <v>287</v>
      </c>
      <c r="HN8" s="188" t="s">
        <v>282</v>
      </c>
      <c r="HO8" s="188" t="s">
        <v>329</v>
      </c>
      <c r="HP8" s="188" t="s">
        <v>295</v>
      </c>
      <c r="HQ8" s="188" t="s">
        <v>332</v>
      </c>
      <c r="HR8" s="188" t="s">
        <v>334</v>
      </c>
      <c r="HS8" s="188" t="s">
        <v>329</v>
      </c>
      <c r="HT8" s="188" t="s">
        <v>284</v>
      </c>
      <c r="HU8" s="188" t="s">
        <v>282</v>
      </c>
      <c r="HV8" s="188" t="s">
        <v>275</v>
      </c>
      <c r="HW8" s="188" t="s">
        <v>329</v>
      </c>
      <c r="HX8" s="188" t="s">
        <v>310</v>
      </c>
      <c r="HY8" s="154" t="s">
        <v>315</v>
      </c>
      <c r="HZ8" s="154" t="s">
        <v>287</v>
      </c>
      <c r="IA8" s="188" t="s">
        <v>295</v>
      </c>
      <c r="IB8" s="188" t="s">
        <v>462</v>
      </c>
      <c r="IC8" s="188" t="s">
        <v>295</v>
      </c>
      <c r="ID8" s="188" t="s">
        <v>312</v>
      </c>
      <c r="IE8" s="188" t="s">
        <v>282</v>
      </c>
      <c r="IF8" s="154" t="s">
        <v>287</v>
      </c>
      <c r="IG8" s="188" t="s">
        <v>282</v>
      </c>
      <c r="IH8" s="154" t="s">
        <v>287</v>
      </c>
      <c r="II8" s="115" t="s">
        <v>287</v>
      </c>
      <c r="IJ8" s="117" t="s">
        <v>275</v>
      </c>
      <c r="IK8" s="117"/>
      <c r="IL8" s="117" t="s">
        <v>282</v>
      </c>
      <c r="IM8" s="115" t="s">
        <v>287</v>
      </c>
      <c r="IN8" s="117" t="s">
        <v>280</v>
      </c>
      <c r="IO8" s="117" t="s">
        <v>282</v>
      </c>
      <c r="IP8" s="117" t="s">
        <v>463</v>
      </c>
      <c r="IQ8" s="117" t="s">
        <v>278</v>
      </c>
      <c r="IR8" s="117" t="s">
        <v>310</v>
      </c>
      <c r="IS8" s="117" t="s">
        <v>275</v>
      </c>
      <c r="IT8" s="117" t="s">
        <v>280</v>
      </c>
      <c r="IU8" s="117" t="s">
        <v>460</v>
      </c>
      <c r="IV8" s="115" t="s">
        <v>287</v>
      </c>
      <c r="IW8" s="117" t="s">
        <v>315</v>
      </c>
      <c r="IX8" s="117" t="s">
        <v>315</v>
      </c>
      <c r="IY8" s="117" t="s">
        <v>463</v>
      </c>
      <c r="IZ8" s="117" t="s">
        <v>278</v>
      </c>
      <c r="JA8" s="117" t="s">
        <v>463</v>
      </c>
      <c r="JB8" s="115" t="s">
        <v>287</v>
      </c>
      <c r="JC8" s="115" t="s">
        <v>287</v>
      </c>
      <c r="JD8" s="117" t="s">
        <v>295</v>
      </c>
      <c r="JE8" s="117"/>
      <c r="JF8" s="117" t="s">
        <v>295</v>
      </c>
      <c r="JG8" s="117" t="s">
        <v>310</v>
      </c>
      <c r="JH8" s="117" t="s">
        <v>295</v>
      </c>
      <c r="JI8" s="115" t="s">
        <v>287</v>
      </c>
      <c r="JJ8" s="117" t="s">
        <v>278</v>
      </c>
      <c r="JK8" s="115" t="s">
        <v>315</v>
      </c>
      <c r="JL8" s="117" t="s">
        <v>275</v>
      </c>
      <c r="JM8" s="117" t="s">
        <v>332</v>
      </c>
      <c r="JN8" s="117" t="s">
        <v>295</v>
      </c>
      <c r="JO8" s="117" t="s">
        <v>329</v>
      </c>
      <c r="JP8" s="117"/>
      <c r="JQ8" s="117" t="s">
        <v>282</v>
      </c>
      <c r="JR8" s="117"/>
      <c r="JS8" s="117" t="s">
        <v>329</v>
      </c>
      <c r="JT8" s="117" t="s">
        <v>287</v>
      </c>
      <c r="JU8" s="117" t="s">
        <v>310</v>
      </c>
      <c r="JV8" s="117" t="s">
        <v>282</v>
      </c>
      <c r="JW8" s="115" t="s">
        <v>287</v>
      </c>
      <c r="JX8" s="117"/>
      <c r="JY8" s="117" t="s">
        <v>295</v>
      </c>
      <c r="JZ8" s="117" t="s">
        <v>275</v>
      </c>
      <c r="KA8" s="117" t="s">
        <v>282</v>
      </c>
      <c r="KB8" s="117" t="s">
        <v>287</v>
      </c>
      <c r="KC8" s="117" t="s">
        <v>312</v>
      </c>
      <c r="KD8" s="117" t="s">
        <v>295</v>
      </c>
      <c r="KE8" s="117"/>
      <c r="KF8" s="117" t="s">
        <v>282</v>
      </c>
      <c r="KG8" s="117" t="s">
        <v>310</v>
      </c>
      <c r="KH8" s="117" t="s">
        <v>282</v>
      </c>
      <c r="KI8" s="117" t="s">
        <v>463</v>
      </c>
      <c r="KJ8" s="117" t="s">
        <v>321</v>
      </c>
      <c r="KK8" s="117" t="s">
        <v>278</v>
      </c>
      <c r="KL8" s="117" t="s">
        <v>295</v>
      </c>
      <c r="KM8" s="117" t="s">
        <v>310</v>
      </c>
      <c r="KN8" s="117" t="s">
        <v>295</v>
      </c>
      <c r="KO8" s="117" t="s">
        <v>329</v>
      </c>
      <c r="KP8" s="117" t="s">
        <v>282</v>
      </c>
      <c r="KQ8" s="117" t="s">
        <v>282</v>
      </c>
      <c r="KR8" s="117" t="s">
        <v>270</v>
      </c>
      <c r="KS8" s="117" t="s">
        <v>275</v>
      </c>
      <c r="KT8" s="117" t="s">
        <v>295</v>
      </c>
      <c r="KU8" s="117" t="s">
        <v>460</v>
      </c>
      <c r="KV8" s="117" t="s">
        <v>312</v>
      </c>
      <c r="KW8" s="117"/>
      <c r="KX8" s="117" t="s">
        <v>282</v>
      </c>
      <c r="KY8" s="117"/>
      <c r="KZ8" s="117"/>
      <c r="LA8" s="117" t="s">
        <v>278</v>
      </c>
      <c r="LB8" s="117" t="s">
        <v>282</v>
      </c>
      <c r="LC8" s="117" t="s">
        <v>278</v>
      </c>
      <c r="LD8" s="117" t="s">
        <v>278</v>
      </c>
      <c r="LE8" s="117" t="s">
        <v>295</v>
      </c>
      <c r="LF8" s="117" t="s">
        <v>275</v>
      </c>
      <c r="LG8" s="117" t="s">
        <v>280</v>
      </c>
      <c r="LH8" s="117" t="s">
        <v>329</v>
      </c>
      <c r="LI8" s="117" t="s">
        <v>329</v>
      </c>
      <c r="LJ8" s="117" t="s">
        <v>312</v>
      </c>
      <c r="LK8" s="115" t="s">
        <v>287</v>
      </c>
      <c r="LL8" s="117" t="s">
        <v>460</v>
      </c>
      <c r="LM8" s="117" t="s">
        <v>282</v>
      </c>
      <c r="LN8" s="117" t="s">
        <v>310</v>
      </c>
      <c r="LO8" s="117" t="s">
        <v>282</v>
      </c>
      <c r="LP8" s="115" t="s">
        <v>287</v>
      </c>
      <c r="LQ8" s="117" t="s">
        <v>329</v>
      </c>
      <c r="LR8" s="117" t="s">
        <v>464</v>
      </c>
      <c r="LS8" s="115" t="s">
        <v>287</v>
      </c>
      <c r="LT8" s="117" t="s">
        <v>273</v>
      </c>
      <c r="LU8" s="117" t="s">
        <v>282</v>
      </c>
      <c r="LV8" s="115" t="s">
        <v>287</v>
      </c>
      <c r="LW8" s="117" t="s">
        <v>312</v>
      </c>
      <c r="LX8" s="117" t="s">
        <v>282</v>
      </c>
      <c r="LY8" s="117" t="s">
        <v>461</v>
      </c>
      <c r="LZ8" s="115" t="s">
        <v>287</v>
      </c>
      <c r="MA8" s="115" t="s">
        <v>287</v>
      </c>
      <c r="MB8" s="117" t="s">
        <v>275</v>
      </c>
      <c r="MC8" s="117" t="s">
        <v>278</v>
      </c>
      <c r="MD8" s="115" t="s">
        <v>287</v>
      </c>
      <c r="ME8" s="117" t="s">
        <v>332</v>
      </c>
      <c r="MF8" s="117" t="s">
        <v>458</v>
      </c>
      <c r="MG8" s="117" t="s">
        <v>321</v>
      </c>
      <c r="MH8" s="117" t="s">
        <v>275</v>
      </c>
      <c r="MI8" s="117" t="s">
        <v>275</v>
      </c>
      <c r="MJ8" s="117" t="s">
        <v>295</v>
      </c>
      <c r="MK8" s="117" t="s">
        <v>460</v>
      </c>
      <c r="ML8" s="117" t="s">
        <v>275</v>
      </c>
      <c r="MM8" s="117" t="s">
        <v>459</v>
      </c>
      <c r="MN8" s="117" t="s">
        <v>458</v>
      </c>
      <c r="MO8" s="117" t="s">
        <v>295</v>
      </c>
      <c r="MP8" s="117" t="s">
        <v>310</v>
      </c>
      <c r="MQ8" s="115" t="s">
        <v>287</v>
      </c>
      <c r="MR8" s="115" t="s">
        <v>287</v>
      </c>
      <c r="MS8" s="117" t="s">
        <v>280</v>
      </c>
      <c r="MT8" s="117" t="s">
        <v>458</v>
      </c>
      <c r="MU8" s="117" t="s">
        <v>282</v>
      </c>
      <c r="MV8" s="117" t="s">
        <v>310</v>
      </c>
      <c r="MW8" s="115" t="s">
        <v>287</v>
      </c>
      <c r="MX8" s="13"/>
    </row>
    <row r="9" spans="1:362" s="7" customFormat="1" ht="57" thickBot="1" x14ac:dyDescent="0.25">
      <c r="A9" s="153" t="s">
        <v>511</v>
      </c>
      <c r="B9" s="154" t="s">
        <v>512</v>
      </c>
      <c r="C9" s="154" t="s">
        <v>513</v>
      </c>
      <c r="D9" s="182" t="s">
        <v>3</v>
      </c>
      <c r="E9" s="183" t="s">
        <v>3</v>
      </c>
      <c r="F9" s="183" t="s">
        <v>3</v>
      </c>
      <c r="G9" s="183" t="s">
        <v>4</v>
      </c>
      <c r="H9" s="183" t="s">
        <v>3</v>
      </c>
      <c r="I9" s="183" t="s">
        <v>3</v>
      </c>
      <c r="J9" s="183" t="s">
        <v>3</v>
      </c>
      <c r="K9" s="183" t="s">
        <v>4</v>
      </c>
      <c r="L9" s="183" t="s">
        <v>4</v>
      </c>
      <c r="M9" s="183" t="s">
        <v>4</v>
      </c>
      <c r="N9" s="183" t="s">
        <v>4</v>
      </c>
      <c r="O9" s="183" t="s">
        <v>4</v>
      </c>
      <c r="P9" s="183" t="s">
        <v>4</v>
      </c>
      <c r="Q9" s="183" t="s">
        <v>4</v>
      </c>
      <c r="R9" s="183" t="s">
        <v>4</v>
      </c>
      <c r="S9" s="183" t="s">
        <v>4</v>
      </c>
      <c r="T9" s="183" t="s">
        <v>4</v>
      </c>
      <c r="U9" s="183" t="s">
        <v>4</v>
      </c>
      <c r="V9" s="183" t="s">
        <v>4</v>
      </c>
      <c r="W9" s="183" t="s">
        <v>4</v>
      </c>
      <c r="X9" s="183" t="s">
        <v>4</v>
      </c>
      <c r="Y9" s="183" t="s">
        <v>4</v>
      </c>
      <c r="Z9" s="183" t="s">
        <v>622</v>
      </c>
      <c r="AA9" s="183" t="s">
        <v>4</v>
      </c>
      <c r="AB9" s="183" t="s">
        <v>4</v>
      </c>
      <c r="AC9" s="183" t="s">
        <v>4</v>
      </c>
      <c r="AD9" s="183" t="s">
        <v>4</v>
      </c>
      <c r="AE9" s="183" t="s">
        <v>4</v>
      </c>
      <c r="AF9" s="183" t="s">
        <v>4</v>
      </c>
      <c r="AG9" s="183" t="s">
        <v>4</v>
      </c>
      <c r="AH9" s="183" t="s">
        <v>4</v>
      </c>
      <c r="AI9" s="183" t="s">
        <v>4</v>
      </c>
      <c r="AJ9" s="183" t="s">
        <v>4</v>
      </c>
      <c r="AK9" s="183" t="s">
        <v>4</v>
      </c>
      <c r="AL9" s="183" t="s">
        <v>4</v>
      </c>
      <c r="AM9" s="183" t="s">
        <v>4</v>
      </c>
      <c r="AN9" s="183" t="s">
        <v>4</v>
      </c>
      <c r="AO9" s="183" t="s">
        <v>4</v>
      </c>
      <c r="AP9" s="183" t="s">
        <v>4</v>
      </c>
      <c r="AQ9" s="183" t="s">
        <v>4</v>
      </c>
      <c r="AR9" s="183" t="s">
        <v>4</v>
      </c>
      <c r="AS9" s="183" t="s">
        <v>4</v>
      </c>
      <c r="AT9" s="183" t="s">
        <v>4</v>
      </c>
      <c r="AU9" s="183" t="s">
        <v>4</v>
      </c>
      <c r="AV9" s="183" t="s">
        <v>4</v>
      </c>
      <c r="AW9" s="183" t="s">
        <v>4</v>
      </c>
      <c r="AX9" s="183" t="s">
        <v>4</v>
      </c>
      <c r="AY9" s="183" t="s">
        <v>4</v>
      </c>
      <c r="AZ9" s="183" t="s">
        <v>4</v>
      </c>
      <c r="BA9" s="183" t="s">
        <v>4</v>
      </c>
      <c r="BB9" s="184" t="s">
        <v>4</v>
      </c>
      <c r="BC9" s="184" t="s">
        <v>4</v>
      </c>
      <c r="BD9" s="184" t="s">
        <v>4</v>
      </c>
      <c r="BE9" s="184" t="s">
        <v>4</v>
      </c>
      <c r="BF9" s="184" t="s">
        <v>4</v>
      </c>
      <c r="BG9" s="184" t="s">
        <v>4</v>
      </c>
      <c r="BH9" s="184" t="s">
        <v>4</v>
      </c>
      <c r="BI9" s="184" t="s">
        <v>4</v>
      </c>
      <c r="BJ9" s="184" t="s">
        <v>4</v>
      </c>
      <c r="BK9" s="184" t="s">
        <v>4</v>
      </c>
      <c r="BL9" s="184" t="s">
        <v>4</v>
      </c>
      <c r="BM9" s="184" t="s">
        <v>4</v>
      </c>
      <c r="BN9" s="185" t="s">
        <v>4</v>
      </c>
      <c r="BO9" s="186" t="s">
        <v>4</v>
      </c>
      <c r="BP9" s="184" t="s">
        <v>4</v>
      </c>
      <c r="BQ9" s="184" t="s">
        <v>4</v>
      </c>
      <c r="BR9" s="184" t="s">
        <v>4</v>
      </c>
      <c r="BS9" s="184" t="s">
        <v>4</v>
      </c>
      <c r="BT9" s="184" t="s">
        <v>4</v>
      </c>
      <c r="BU9" s="184" t="s">
        <v>4</v>
      </c>
      <c r="BV9" s="184" t="s">
        <v>4</v>
      </c>
      <c r="BW9" s="184" t="s">
        <v>4</v>
      </c>
      <c r="BX9" s="184" t="s">
        <v>4</v>
      </c>
      <c r="BY9" s="184" t="s">
        <v>4</v>
      </c>
      <c r="BZ9" s="184" t="s">
        <v>4</v>
      </c>
      <c r="CA9" s="184" t="s">
        <v>4</v>
      </c>
      <c r="CB9" s="184" t="s">
        <v>4</v>
      </c>
      <c r="CC9" s="184" t="s">
        <v>4</v>
      </c>
      <c r="CD9" s="184" t="s">
        <v>4</v>
      </c>
      <c r="CE9" s="184" t="s">
        <v>4</v>
      </c>
      <c r="CF9" s="184" t="s">
        <v>4</v>
      </c>
      <c r="CG9" s="184" t="s">
        <v>4</v>
      </c>
      <c r="CH9" s="184" t="s">
        <v>4</v>
      </c>
      <c r="CI9" s="184" t="s">
        <v>4</v>
      </c>
      <c r="CJ9" s="184" t="s">
        <v>4</v>
      </c>
      <c r="CK9" s="184" t="s">
        <v>4</v>
      </c>
      <c r="CL9" s="184" t="s">
        <v>5</v>
      </c>
      <c r="CM9" s="184" t="s">
        <v>4</v>
      </c>
      <c r="CN9" s="184" t="s">
        <v>4</v>
      </c>
      <c r="CO9" s="184" t="s">
        <v>4</v>
      </c>
      <c r="CP9" s="184" t="s">
        <v>4</v>
      </c>
      <c r="CQ9" s="184" t="s">
        <v>4</v>
      </c>
      <c r="CR9" s="184" t="s">
        <v>4</v>
      </c>
      <c r="CS9" s="184" t="s">
        <v>4</v>
      </c>
      <c r="CT9" s="184" t="s">
        <v>4</v>
      </c>
      <c r="CU9" s="184" t="s">
        <v>4</v>
      </c>
      <c r="CV9" s="184" t="s">
        <v>4</v>
      </c>
      <c r="CW9" s="184" t="s">
        <v>4</v>
      </c>
      <c r="CX9" s="184" t="s">
        <v>4</v>
      </c>
      <c r="CY9" s="184" t="s">
        <v>3</v>
      </c>
      <c r="CZ9" s="184" t="s">
        <v>4</v>
      </c>
      <c r="DA9" s="184" t="s">
        <v>4</v>
      </c>
      <c r="DB9" s="184" t="s">
        <v>4</v>
      </c>
      <c r="DC9" s="184" t="s">
        <v>4</v>
      </c>
      <c r="DD9" s="184" t="s">
        <v>4</v>
      </c>
      <c r="DE9" s="184" t="s">
        <v>4</v>
      </c>
      <c r="DF9" s="184" t="s">
        <v>4</v>
      </c>
      <c r="DG9" s="184" t="s">
        <v>4</v>
      </c>
      <c r="DH9" s="184" t="s">
        <v>4</v>
      </c>
      <c r="DI9" s="184" t="s">
        <v>4</v>
      </c>
      <c r="DJ9" s="184" t="s">
        <v>686</v>
      </c>
      <c r="DK9" s="184" t="s">
        <v>4</v>
      </c>
      <c r="DL9" s="184" t="s">
        <v>4</v>
      </c>
      <c r="DM9" s="184" t="s">
        <v>4</v>
      </c>
      <c r="DN9" s="184" t="s">
        <v>4</v>
      </c>
      <c r="DO9" s="184" t="s">
        <v>4</v>
      </c>
      <c r="DP9" s="184" t="s">
        <v>4</v>
      </c>
      <c r="DQ9" s="184" t="s">
        <v>4</v>
      </c>
      <c r="DR9" s="184" t="s">
        <v>4</v>
      </c>
      <c r="DS9" s="184" t="s">
        <v>3</v>
      </c>
      <c r="DT9" s="184" t="s">
        <v>5</v>
      </c>
      <c r="DU9" s="184" t="s">
        <v>4</v>
      </c>
      <c r="DV9" s="184" t="s">
        <v>4</v>
      </c>
      <c r="DW9" s="186" t="s">
        <v>686</v>
      </c>
      <c r="DX9" s="184" t="s">
        <v>3</v>
      </c>
      <c r="DY9" s="184" t="s">
        <v>4</v>
      </c>
      <c r="DZ9" s="184" t="s">
        <v>4</v>
      </c>
      <c r="EA9" s="184" t="s">
        <v>4</v>
      </c>
      <c r="EB9" s="184" t="s">
        <v>4</v>
      </c>
      <c r="EC9" s="184" t="s">
        <v>4</v>
      </c>
      <c r="ED9" s="184" t="s">
        <v>4</v>
      </c>
      <c r="EE9" s="184" t="s">
        <v>4</v>
      </c>
      <c r="EF9" s="184" t="s">
        <v>4</v>
      </c>
      <c r="EG9" s="184" t="s">
        <v>4</v>
      </c>
      <c r="EH9" s="184" t="s">
        <v>4</v>
      </c>
      <c r="EI9" s="184" t="s">
        <v>4</v>
      </c>
      <c r="EJ9" s="184" t="s">
        <v>4</v>
      </c>
      <c r="EK9" s="184" t="s">
        <v>4</v>
      </c>
      <c r="EL9" s="184" t="s">
        <v>4</v>
      </c>
      <c r="EM9" s="184" t="s">
        <v>4</v>
      </c>
      <c r="EN9" s="184" t="s">
        <v>4</v>
      </c>
      <c r="EO9" s="184" t="s">
        <v>4</v>
      </c>
      <c r="EP9" s="184" t="s">
        <v>4</v>
      </c>
      <c r="EQ9" s="184" t="s">
        <v>4</v>
      </c>
      <c r="ER9" s="184" t="s">
        <v>4</v>
      </c>
      <c r="ES9" s="184" t="s">
        <v>4</v>
      </c>
      <c r="ET9" s="184" t="s">
        <v>4</v>
      </c>
      <c r="EU9" s="184" t="s">
        <v>4</v>
      </c>
      <c r="EV9" s="184" t="s">
        <v>4</v>
      </c>
      <c r="EW9" s="184" t="s">
        <v>4</v>
      </c>
      <c r="EX9" s="184" t="s">
        <v>4</v>
      </c>
      <c r="EY9" s="184" t="s">
        <v>3</v>
      </c>
      <c r="EZ9" s="184" t="s">
        <v>4</v>
      </c>
      <c r="FA9" s="184" t="s">
        <v>4</v>
      </c>
      <c r="FB9" s="184" t="s">
        <v>4</v>
      </c>
      <c r="FC9" s="184" t="s">
        <v>4</v>
      </c>
      <c r="FD9" s="184" t="s">
        <v>622</v>
      </c>
      <c r="FE9" s="184" t="s">
        <v>4</v>
      </c>
      <c r="FF9" s="191" t="s">
        <v>4</v>
      </c>
      <c r="FG9" s="184" t="s">
        <v>4</v>
      </c>
      <c r="FH9" s="184" t="s">
        <v>4</v>
      </c>
      <c r="FI9" s="184" t="s">
        <v>4</v>
      </c>
      <c r="FJ9" s="184" t="s">
        <v>4</v>
      </c>
      <c r="FK9" s="184" t="s">
        <v>4</v>
      </c>
      <c r="FL9" s="184" t="s">
        <v>4</v>
      </c>
      <c r="FM9" s="184" t="s">
        <v>4</v>
      </c>
      <c r="FN9" s="184" t="s">
        <v>4</v>
      </c>
      <c r="FO9" s="184" t="s">
        <v>4</v>
      </c>
      <c r="FP9" s="184" t="s">
        <v>4</v>
      </c>
      <c r="FQ9" s="184" t="s">
        <v>4</v>
      </c>
      <c r="FR9" s="184" t="s">
        <v>4</v>
      </c>
      <c r="FS9" s="184" t="s">
        <v>4</v>
      </c>
      <c r="FT9" s="184" t="s">
        <v>4</v>
      </c>
      <c r="FU9" s="184" t="s">
        <v>4</v>
      </c>
      <c r="FV9" s="184" t="s">
        <v>4</v>
      </c>
      <c r="FW9" s="184" t="s">
        <v>4</v>
      </c>
      <c r="FX9" s="184" t="s">
        <v>622</v>
      </c>
      <c r="FY9" s="184" t="s">
        <v>4</v>
      </c>
      <c r="FZ9" s="184" t="s">
        <v>4</v>
      </c>
      <c r="GA9" s="186" t="s">
        <v>4</v>
      </c>
      <c r="GB9" s="184" t="s">
        <v>4</v>
      </c>
      <c r="GC9" s="184" t="s">
        <v>4</v>
      </c>
      <c r="GD9" s="184" t="s">
        <v>4</v>
      </c>
      <c r="GE9" s="184" t="s">
        <v>4</v>
      </c>
      <c r="GF9" s="184" t="s">
        <v>4</v>
      </c>
      <c r="GG9" s="184" t="s">
        <v>4</v>
      </c>
      <c r="GH9" s="184" t="s">
        <v>4</v>
      </c>
      <c r="GI9" s="184" t="s">
        <v>4</v>
      </c>
      <c r="GJ9" s="184" t="s">
        <v>4</v>
      </c>
      <c r="GK9" s="184" t="s">
        <v>4</v>
      </c>
      <c r="GL9" s="184" t="s">
        <v>4</v>
      </c>
      <c r="GM9" s="184" t="s">
        <v>4</v>
      </c>
      <c r="GN9" s="184" t="s">
        <v>4</v>
      </c>
      <c r="GO9" s="184" t="s">
        <v>4</v>
      </c>
      <c r="GP9" s="184" t="s">
        <v>4</v>
      </c>
      <c r="GQ9" s="184" t="s">
        <v>4</v>
      </c>
      <c r="GR9" s="184" t="s">
        <v>4</v>
      </c>
      <c r="GS9" s="184" t="s">
        <v>4</v>
      </c>
      <c r="GT9" s="184" t="s">
        <v>4</v>
      </c>
      <c r="GU9" s="184" t="s">
        <v>4</v>
      </c>
      <c r="GV9" s="184" t="s">
        <v>4</v>
      </c>
      <c r="GW9" s="184" t="s">
        <v>4</v>
      </c>
      <c r="GX9" s="184" t="s">
        <v>4</v>
      </c>
      <c r="GY9" s="184" t="s">
        <v>4</v>
      </c>
      <c r="GZ9" s="184" t="s">
        <v>4</v>
      </c>
      <c r="HA9" s="184" t="s">
        <v>4</v>
      </c>
      <c r="HB9" s="184" t="s">
        <v>4</v>
      </c>
      <c r="HC9" s="184" t="s">
        <v>4</v>
      </c>
      <c r="HD9" s="184" t="s">
        <v>4</v>
      </c>
      <c r="HE9" s="184" t="s">
        <v>4</v>
      </c>
      <c r="HF9" s="184" t="s">
        <v>4</v>
      </c>
      <c r="HG9" s="184" t="s">
        <v>4</v>
      </c>
      <c r="HH9" s="184" t="s">
        <v>4</v>
      </c>
      <c r="HI9" s="184" t="s">
        <v>4</v>
      </c>
      <c r="HJ9" s="184" t="s">
        <v>4</v>
      </c>
      <c r="HK9" s="184" t="s">
        <v>4</v>
      </c>
      <c r="HL9" s="184" t="s">
        <v>4</v>
      </c>
      <c r="HM9" s="184" t="s">
        <v>4</v>
      </c>
      <c r="HN9" s="184" t="s">
        <v>4</v>
      </c>
      <c r="HO9" s="184" t="s">
        <v>4</v>
      </c>
      <c r="HP9" s="184" t="s">
        <v>4</v>
      </c>
      <c r="HQ9" s="184" t="s">
        <v>4</v>
      </c>
      <c r="HR9" s="184" t="s">
        <v>4</v>
      </c>
      <c r="HS9" s="184" t="s">
        <v>4</v>
      </c>
      <c r="HT9" s="184" t="s">
        <v>4</v>
      </c>
      <c r="HU9" s="184" t="s">
        <v>4</v>
      </c>
      <c r="HV9" s="184" t="s">
        <v>4</v>
      </c>
      <c r="HW9" s="184" t="s">
        <v>4</v>
      </c>
      <c r="HX9" s="184" t="s">
        <v>4</v>
      </c>
      <c r="HY9" s="184" t="s">
        <v>4</v>
      </c>
      <c r="HZ9" s="184" t="s">
        <v>4</v>
      </c>
      <c r="IA9" s="184" t="s">
        <v>4</v>
      </c>
      <c r="IB9" s="184" t="s">
        <v>4</v>
      </c>
      <c r="IC9" s="184" t="s">
        <v>4</v>
      </c>
      <c r="ID9" s="184" t="s">
        <v>4</v>
      </c>
      <c r="IE9" s="184" t="s">
        <v>4</v>
      </c>
      <c r="IF9" s="184" t="s">
        <v>4</v>
      </c>
      <c r="IG9" s="184" t="s">
        <v>4</v>
      </c>
      <c r="IH9" s="184" t="s">
        <v>4</v>
      </c>
      <c r="II9" s="116" t="s">
        <v>4</v>
      </c>
      <c r="IJ9" s="116" t="s">
        <v>4</v>
      </c>
      <c r="IK9" s="116" t="s">
        <v>4</v>
      </c>
      <c r="IL9" s="116" t="s">
        <v>4</v>
      </c>
      <c r="IM9" s="116" t="s">
        <v>4</v>
      </c>
      <c r="IN9" s="116" t="s">
        <v>4</v>
      </c>
      <c r="IO9" s="116" t="s">
        <v>4</v>
      </c>
      <c r="IP9" s="116" t="s">
        <v>4</v>
      </c>
      <c r="IQ9" s="116" t="s">
        <v>4</v>
      </c>
      <c r="IR9" s="116" t="s">
        <v>4</v>
      </c>
      <c r="IS9" s="116" t="s">
        <v>4</v>
      </c>
      <c r="IT9" s="116" t="s">
        <v>4</v>
      </c>
      <c r="IU9" s="116" t="s">
        <v>4</v>
      </c>
      <c r="IV9" s="116" t="s">
        <v>4</v>
      </c>
      <c r="IW9" s="116" t="s">
        <v>4</v>
      </c>
      <c r="IX9" s="116" t="s">
        <v>4</v>
      </c>
      <c r="IY9" s="116" t="s">
        <v>4</v>
      </c>
      <c r="IZ9" s="116" t="s">
        <v>4</v>
      </c>
      <c r="JA9" s="116" t="s">
        <v>4</v>
      </c>
      <c r="JB9" s="116" t="s">
        <v>4</v>
      </c>
      <c r="JC9" s="116" t="s">
        <v>4</v>
      </c>
      <c r="JD9" s="116" t="s">
        <v>4</v>
      </c>
      <c r="JE9" s="116" t="s">
        <v>4</v>
      </c>
      <c r="JF9" s="116" t="s">
        <v>4</v>
      </c>
      <c r="JG9" s="116" t="s">
        <v>4</v>
      </c>
      <c r="JH9" s="116" t="s">
        <v>4</v>
      </c>
      <c r="JI9" s="116" t="s">
        <v>4</v>
      </c>
      <c r="JJ9" s="116" t="s">
        <v>4</v>
      </c>
      <c r="JK9" s="116" t="s">
        <v>4</v>
      </c>
      <c r="JL9" s="116" t="s">
        <v>4</v>
      </c>
      <c r="JM9" s="116" t="s">
        <v>4</v>
      </c>
      <c r="JN9" s="116" t="s">
        <v>4</v>
      </c>
      <c r="JO9" s="116" t="s">
        <v>4</v>
      </c>
      <c r="JP9" s="116" t="s">
        <v>4</v>
      </c>
      <c r="JQ9" s="116" t="s">
        <v>4</v>
      </c>
      <c r="JR9" s="116" t="s">
        <v>4</v>
      </c>
      <c r="JS9" s="116" t="s">
        <v>4</v>
      </c>
      <c r="JT9" s="116" t="s">
        <v>4</v>
      </c>
      <c r="JU9" s="116" t="s">
        <v>4</v>
      </c>
      <c r="JV9" s="116" t="s">
        <v>4</v>
      </c>
      <c r="JW9" s="116" t="s">
        <v>4</v>
      </c>
      <c r="JX9" s="116" t="s">
        <v>4</v>
      </c>
      <c r="JY9" s="116" t="s">
        <v>4</v>
      </c>
      <c r="JZ9" s="116" t="s">
        <v>4</v>
      </c>
      <c r="KA9" s="116" t="s">
        <v>4</v>
      </c>
      <c r="KB9" s="116" t="s">
        <v>4</v>
      </c>
      <c r="KC9" s="116" t="s">
        <v>4</v>
      </c>
      <c r="KD9" s="116" t="s">
        <v>4</v>
      </c>
      <c r="KE9" s="116" t="s">
        <v>4</v>
      </c>
      <c r="KF9" s="116" t="s">
        <v>4</v>
      </c>
      <c r="KG9" s="116" t="s">
        <v>4</v>
      </c>
      <c r="KH9" s="116" t="s">
        <v>4</v>
      </c>
      <c r="KI9" s="116" t="s">
        <v>4</v>
      </c>
      <c r="KJ9" s="116" t="s">
        <v>4</v>
      </c>
      <c r="KK9" s="116" t="s">
        <v>4</v>
      </c>
      <c r="KL9" s="116" t="s">
        <v>4</v>
      </c>
      <c r="KM9" s="116" t="s">
        <v>4</v>
      </c>
      <c r="KN9" s="116" t="s">
        <v>4</v>
      </c>
      <c r="KO9" s="116" t="s">
        <v>4</v>
      </c>
      <c r="KP9" s="116" t="s">
        <v>4</v>
      </c>
      <c r="KQ9" s="116" t="s">
        <v>4</v>
      </c>
      <c r="KR9" s="116" t="s">
        <v>4</v>
      </c>
      <c r="KS9" s="116" t="s">
        <v>4</v>
      </c>
      <c r="KT9" s="116" t="s">
        <v>4</v>
      </c>
      <c r="KU9" s="116" t="s">
        <v>4</v>
      </c>
      <c r="KV9" s="116" t="s">
        <v>4</v>
      </c>
      <c r="KW9" s="116" t="s">
        <v>4</v>
      </c>
      <c r="KX9" s="116" t="s">
        <v>4</v>
      </c>
      <c r="KY9" s="116" t="s">
        <v>4</v>
      </c>
      <c r="KZ9" s="116" t="s">
        <v>4</v>
      </c>
      <c r="LA9" s="116" t="s">
        <v>4</v>
      </c>
      <c r="LB9" s="116" t="s">
        <v>4</v>
      </c>
      <c r="LC9" s="116" t="s">
        <v>4</v>
      </c>
      <c r="LD9" s="116" t="s">
        <v>4</v>
      </c>
      <c r="LE9" s="116" t="s">
        <v>4</v>
      </c>
      <c r="LF9" s="116" t="s">
        <v>4</v>
      </c>
      <c r="LG9" s="116" t="s">
        <v>4</v>
      </c>
      <c r="LH9" s="116" t="s">
        <v>4</v>
      </c>
      <c r="LI9" s="116" t="s">
        <v>4</v>
      </c>
      <c r="LJ9" s="116" t="s">
        <v>4</v>
      </c>
      <c r="LK9" s="116" t="s">
        <v>4</v>
      </c>
      <c r="LL9" s="116" t="s">
        <v>4</v>
      </c>
      <c r="LM9" s="116" t="s">
        <v>4</v>
      </c>
      <c r="LN9" s="116" t="s">
        <v>4</v>
      </c>
      <c r="LO9" s="116" t="s">
        <v>4</v>
      </c>
      <c r="LP9" s="116" t="s">
        <v>4</v>
      </c>
      <c r="LQ9" s="116" t="s">
        <v>4</v>
      </c>
      <c r="LR9" s="116" t="s">
        <v>4</v>
      </c>
      <c r="LS9" s="116" t="s">
        <v>4</v>
      </c>
      <c r="LT9" s="116" t="s">
        <v>4</v>
      </c>
      <c r="LU9" s="116" t="s">
        <v>4</v>
      </c>
      <c r="LV9" s="116" t="s">
        <v>4</v>
      </c>
      <c r="LW9" s="116" t="s">
        <v>4</v>
      </c>
      <c r="LX9" s="116" t="s">
        <v>4</v>
      </c>
      <c r="LY9" s="116" t="s">
        <v>4</v>
      </c>
      <c r="LZ9" s="116" t="s">
        <v>4</v>
      </c>
      <c r="MA9" s="116" t="s">
        <v>4</v>
      </c>
      <c r="MB9" s="116" t="s">
        <v>4</v>
      </c>
      <c r="MC9" s="116" t="s">
        <v>4</v>
      </c>
      <c r="MD9" s="116" t="s">
        <v>4</v>
      </c>
      <c r="ME9" s="116" t="s">
        <v>4</v>
      </c>
      <c r="MF9" s="116" t="s">
        <v>4</v>
      </c>
      <c r="MG9" s="116" t="s">
        <v>4</v>
      </c>
      <c r="MH9" s="116" t="s">
        <v>4</v>
      </c>
      <c r="MI9" s="116" t="s">
        <v>4</v>
      </c>
      <c r="MJ9" s="116" t="s">
        <v>4</v>
      </c>
      <c r="MK9" s="116" t="s">
        <v>4</v>
      </c>
      <c r="ML9" s="116" t="s">
        <v>4</v>
      </c>
      <c r="MM9" s="116" t="s">
        <v>4</v>
      </c>
      <c r="MN9" s="116" t="s">
        <v>4</v>
      </c>
      <c r="MO9" s="116" t="s">
        <v>4</v>
      </c>
      <c r="MP9" s="116" t="s">
        <v>4</v>
      </c>
      <c r="MQ9" s="116" t="s">
        <v>4</v>
      </c>
      <c r="MR9" s="116" t="s">
        <v>4</v>
      </c>
      <c r="MS9" s="116" t="s">
        <v>4</v>
      </c>
      <c r="MT9" s="116" t="s">
        <v>4</v>
      </c>
      <c r="MU9" s="116" t="s">
        <v>4</v>
      </c>
      <c r="MV9" s="116" t="s">
        <v>4</v>
      </c>
      <c r="MW9" s="116" t="s">
        <v>4</v>
      </c>
      <c r="MX9" s="13"/>
    </row>
    <row r="10" spans="1:362" ht="36" customHeight="1" thickBot="1" x14ac:dyDescent="0.25">
      <c r="A10" s="155" t="s">
        <v>514</v>
      </c>
      <c r="B10" s="156" t="s">
        <v>45</v>
      </c>
      <c r="C10" s="157">
        <f>SUM(C12:C20)</f>
        <v>238989043.32700008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18"/>
      <c r="U10" s="119"/>
      <c r="V10" s="118"/>
      <c r="W10" s="118"/>
      <c r="X10" s="118"/>
      <c r="Y10" s="119"/>
      <c r="Z10" s="118"/>
      <c r="AA10" s="118"/>
      <c r="AB10" s="118"/>
      <c r="AC10" s="118"/>
      <c r="AD10" s="118"/>
      <c r="AE10" s="119"/>
      <c r="AF10" s="118"/>
      <c r="AG10" s="118"/>
      <c r="AH10" s="118"/>
      <c r="AI10" s="118"/>
      <c r="AJ10" s="119"/>
      <c r="AK10" s="118"/>
      <c r="AL10" s="118"/>
      <c r="AM10" s="118"/>
      <c r="AN10" s="118"/>
      <c r="AO10" s="118"/>
      <c r="AP10" s="118"/>
      <c r="AQ10" s="118"/>
      <c r="AR10" s="119"/>
      <c r="AS10" s="118"/>
      <c r="AT10" s="118"/>
      <c r="AU10" s="118"/>
      <c r="AV10" s="118"/>
      <c r="AW10" s="118"/>
      <c r="AX10" s="118"/>
      <c r="AY10" s="118"/>
      <c r="AZ10" s="118"/>
      <c r="BA10" s="118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0"/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14"/>
    </row>
    <row r="11" spans="1:362" s="3" customFormat="1" ht="10.5" customHeight="1" thickBot="1" x14ac:dyDescent="0.25">
      <c r="A11" s="158" t="s">
        <v>515</v>
      </c>
      <c r="B11" s="159"/>
      <c r="C11" s="160">
        <f>SUM(D12:MW12)</f>
        <v>100508638.8999999</v>
      </c>
      <c r="D11" s="123">
        <f>D12+D13+D14+D15+D16+D18+D17+D19+D20</f>
        <v>0</v>
      </c>
      <c r="E11" s="123">
        <f t="shared" ref="E11:BP11" si="8">E12+E13+E14+E15+E16+E18+E17+E19+E20</f>
        <v>2841.8999999999996</v>
      </c>
      <c r="F11" s="123">
        <f t="shared" si="8"/>
        <v>244713.9</v>
      </c>
      <c r="G11" s="123">
        <f t="shared" si="8"/>
        <v>0</v>
      </c>
      <c r="H11" s="123">
        <f t="shared" si="8"/>
        <v>0</v>
      </c>
      <c r="I11" s="123">
        <f t="shared" si="8"/>
        <v>200</v>
      </c>
      <c r="J11" s="123">
        <f t="shared" si="8"/>
        <v>58706.1</v>
      </c>
      <c r="K11" s="123">
        <f t="shared" si="8"/>
        <v>4918.5999999999995</v>
      </c>
      <c r="L11" s="123">
        <f t="shared" si="8"/>
        <v>70293.900000000009</v>
      </c>
      <c r="M11" s="123">
        <f t="shared" si="8"/>
        <v>1592.5</v>
      </c>
      <c r="N11" s="123">
        <f t="shared" si="8"/>
        <v>7533.9</v>
      </c>
      <c r="O11" s="122">
        <f t="shared" si="8"/>
        <v>203627463.00000003</v>
      </c>
      <c r="P11" s="123">
        <f t="shared" si="8"/>
        <v>4198.2</v>
      </c>
      <c r="Q11" s="123">
        <f t="shared" si="8"/>
        <v>0</v>
      </c>
      <c r="R11" s="123">
        <f t="shared" si="8"/>
        <v>5706.2</v>
      </c>
      <c r="S11" s="123">
        <f t="shared" si="8"/>
        <v>4837.3</v>
      </c>
      <c r="T11" s="123">
        <f t="shared" si="8"/>
        <v>39834.300000000003</v>
      </c>
      <c r="U11" s="123">
        <f t="shared" si="8"/>
        <v>592.29999999999995</v>
      </c>
      <c r="V11" s="123">
        <f t="shared" si="8"/>
        <v>482111.2</v>
      </c>
      <c r="W11" s="123">
        <f t="shared" si="8"/>
        <v>8400</v>
      </c>
      <c r="X11" s="123">
        <f t="shared" si="8"/>
        <v>922.4</v>
      </c>
      <c r="Y11" s="123">
        <f t="shared" si="8"/>
        <v>78599.100000000006</v>
      </c>
      <c r="Z11" s="123">
        <f t="shared" si="8"/>
        <v>14468.2</v>
      </c>
      <c r="AA11" s="123">
        <f t="shared" si="8"/>
        <v>14898.599999999999</v>
      </c>
      <c r="AB11" s="123">
        <f t="shared" si="8"/>
        <v>904298.20000000007</v>
      </c>
      <c r="AC11" s="123">
        <f t="shared" si="8"/>
        <v>91.3</v>
      </c>
      <c r="AD11" s="123">
        <f t="shared" si="8"/>
        <v>2043.3</v>
      </c>
      <c r="AE11" s="123">
        <f t="shared" si="8"/>
        <v>568423.19999999995</v>
      </c>
      <c r="AF11" s="123">
        <f t="shared" si="8"/>
        <v>0</v>
      </c>
      <c r="AG11" s="123">
        <f t="shared" si="8"/>
        <v>293874.7</v>
      </c>
      <c r="AH11" s="123">
        <f t="shared" si="8"/>
        <v>0</v>
      </c>
      <c r="AI11" s="123">
        <f t="shared" si="8"/>
        <v>300</v>
      </c>
      <c r="AJ11" s="123">
        <f t="shared" si="8"/>
        <v>0</v>
      </c>
      <c r="AK11" s="123">
        <f t="shared" si="8"/>
        <v>165</v>
      </c>
      <c r="AL11" s="123">
        <f t="shared" si="8"/>
        <v>2176.3000000000002</v>
      </c>
      <c r="AM11" s="123">
        <f t="shared" si="8"/>
        <v>3230.1</v>
      </c>
      <c r="AN11" s="123">
        <f t="shared" si="8"/>
        <v>1006.4</v>
      </c>
      <c r="AO11" s="123">
        <f t="shared" si="8"/>
        <v>669</v>
      </c>
      <c r="AP11" s="123">
        <f t="shared" si="8"/>
        <v>11787.400000000001</v>
      </c>
      <c r="AQ11" s="123">
        <f t="shared" si="8"/>
        <v>149.80000000000001</v>
      </c>
      <c r="AR11" s="123">
        <f t="shared" si="8"/>
        <v>7865117.2000000002</v>
      </c>
      <c r="AS11" s="123">
        <f t="shared" si="8"/>
        <v>25255045.300000001</v>
      </c>
      <c r="AT11" s="123">
        <f t="shared" si="8"/>
        <v>100584.79999999999</v>
      </c>
      <c r="AU11" s="123">
        <f t="shared" si="8"/>
        <v>50</v>
      </c>
      <c r="AV11" s="123">
        <f t="shared" si="8"/>
        <v>1111.8000000000002</v>
      </c>
      <c r="AW11" s="123">
        <f t="shared" si="8"/>
        <v>49386.5</v>
      </c>
      <c r="AX11" s="123">
        <f t="shared" si="8"/>
        <v>3852597.7</v>
      </c>
      <c r="AY11" s="123">
        <f t="shared" si="8"/>
        <v>21820.100000000002</v>
      </c>
      <c r="AZ11" s="123">
        <f t="shared" si="8"/>
        <v>6535.2</v>
      </c>
      <c r="BA11" s="123">
        <f t="shared" si="8"/>
        <v>195.2</v>
      </c>
      <c r="BB11" s="123">
        <f t="shared" si="8"/>
        <v>30842.800000000003</v>
      </c>
      <c r="BC11" s="123">
        <f t="shared" si="8"/>
        <v>141221.6</v>
      </c>
      <c r="BD11" s="123">
        <f t="shared" si="8"/>
        <v>149.6</v>
      </c>
      <c r="BE11" s="123">
        <f t="shared" si="8"/>
        <v>1195</v>
      </c>
      <c r="BF11" s="123">
        <f t="shared" si="8"/>
        <v>103.3</v>
      </c>
      <c r="BG11" s="123">
        <f t="shared" si="8"/>
        <v>485435.2</v>
      </c>
      <c r="BH11" s="123">
        <f t="shared" si="8"/>
        <v>4571.0999999999995</v>
      </c>
      <c r="BI11" s="123">
        <f t="shared" si="8"/>
        <v>2688.1</v>
      </c>
      <c r="BJ11" s="123">
        <f t="shared" si="8"/>
        <v>50506.200000000004</v>
      </c>
      <c r="BK11" s="123">
        <f t="shared" si="8"/>
        <v>445.1</v>
      </c>
      <c r="BL11" s="123">
        <f t="shared" si="8"/>
        <v>167790.1</v>
      </c>
      <c r="BM11" s="123">
        <f t="shared" si="8"/>
        <v>49212.4</v>
      </c>
      <c r="BN11" s="123">
        <f t="shared" si="8"/>
        <v>13505</v>
      </c>
      <c r="BO11" s="123">
        <f t="shared" si="8"/>
        <v>121.5</v>
      </c>
      <c r="BP11" s="123">
        <f t="shared" si="8"/>
        <v>8267.4</v>
      </c>
      <c r="BQ11" s="123">
        <f t="shared" ref="BQ11:EA11" si="9">BQ12+BQ13+BQ14+BQ15+BQ16+BQ18+BQ17+BQ19+BQ20</f>
        <v>71741.399999999994</v>
      </c>
      <c r="BR11" s="123">
        <f t="shared" si="9"/>
        <v>0.1</v>
      </c>
      <c r="BS11" s="123">
        <f t="shared" si="9"/>
        <v>1689</v>
      </c>
      <c r="BT11" s="123">
        <f t="shared" si="9"/>
        <v>3120.9</v>
      </c>
      <c r="BU11" s="123">
        <f t="shared" si="9"/>
        <v>0</v>
      </c>
      <c r="BV11" s="123">
        <f t="shared" si="9"/>
        <v>1117.8</v>
      </c>
      <c r="BW11" s="123">
        <f t="shared" si="9"/>
        <v>373.2</v>
      </c>
      <c r="BX11" s="123">
        <f t="shared" si="9"/>
        <v>2721.4</v>
      </c>
      <c r="BY11" s="123">
        <f t="shared" si="9"/>
        <v>20</v>
      </c>
      <c r="BZ11" s="123">
        <f t="shared" si="9"/>
        <v>6107.5</v>
      </c>
      <c r="CA11" s="123">
        <f t="shared" si="9"/>
        <v>1021.8</v>
      </c>
      <c r="CB11" s="123">
        <f t="shared" si="9"/>
        <v>1</v>
      </c>
      <c r="CC11" s="123">
        <f t="shared" si="9"/>
        <v>2289.4</v>
      </c>
      <c r="CD11" s="123">
        <f t="shared" si="9"/>
        <v>4707.1000000000004</v>
      </c>
      <c r="CE11" s="123">
        <f t="shared" si="9"/>
        <v>0</v>
      </c>
      <c r="CF11" s="123">
        <f t="shared" si="9"/>
        <v>1162.4000000000001</v>
      </c>
      <c r="CG11" s="123">
        <f t="shared" si="9"/>
        <v>9323.7999999999993</v>
      </c>
      <c r="CH11" s="123">
        <f t="shared" si="9"/>
        <v>39815.199999999997</v>
      </c>
      <c r="CI11" s="123">
        <f t="shared" si="9"/>
        <v>5990</v>
      </c>
      <c r="CJ11" s="123">
        <f t="shared" si="9"/>
        <v>1599363.9000000001</v>
      </c>
      <c r="CK11" s="123">
        <f t="shared" si="9"/>
        <v>0</v>
      </c>
      <c r="CL11" s="123">
        <f t="shared" si="9"/>
        <v>27134.100000000002</v>
      </c>
      <c r="CM11" s="123">
        <f t="shared" si="9"/>
        <v>12603660.299999999</v>
      </c>
      <c r="CN11" s="123">
        <f t="shared" si="9"/>
        <v>2035</v>
      </c>
      <c r="CO11" s="123">
        <f t="shared" si="9"/>
        <v>10034.6</v>
      </c>
      <c r="CP11" s="123">
        <f t="shared" si="9"/>
        <v>1286837.9000000001</v>
      </c>
      <c r="CQ11" s="123">
        <f t="shared" si="9"/>
        <v>199</v>
      </c>
      <c r="CR11" s="123">
        <f t="shared" si="9"/>
        <v>74.099999999999994</v>
      </c>
      <c r="CS11" s="123">
        <f t="shared" si="9"/>
        <v>3155.8</v>
      </c>
      <c r="CT11" s="123">
        <f t="shared" si="9"/>
        <v>0</v>
      </c>
      <c r="CU11" s="123">
        <f t="shared" si="9"/>
        <v>1033.3</v>
      </c>
      <c r="CV11" s="123">
        <f t="shared" si="9"/>
        <v>5218.0999999999995</v>
      </c>
      <c r="CW11" s="123">
        <f t="shared" si="9"/>
        <v>35493.4</v>
      </c>
      <c r="CX11" s="123">
        <f t="shared" si="9"/>
        <v>124.69999999999999</v>
      </c>
      <c r="CY11" s="123">
        <f t="shared" si="9"/>
        <v>680470</v>
      </c>
      <c r="CZ11" s="123">
        <f t="shared" si="9"/>
        <v>0</v>
      </c>
      <c r="DA11" s="123">
        <f t="shared" si="9"/>
        <v>4680.1000000000004</v>
      </c>
      <c r="DB11" s="123">
        <f t="shared" si="9"/>
        <v>0</v>
      </c>
      <c r="DC11" s="123">
        <f t="shared" si="9"/>
        <v>1222.7</v>
      </c>
      <c r="DD11" s="123">
        <f t="shared" si="9"/>
        <v>0</v>
      </c>
      <c r="DE11" s="123">
        <f t="shared" si="9"/>
        <v>38518.199999999997</v>
      </c>
      <c r="DF11" s="123">
        <f t="shared" si="9"/>
        <v>154.4</v>
      </c>
      <c r="DG11" s="123">
        <f t="shared" si="9"/>
        <v>664.30000000000007</v>
      </c>
      <c r="DH11" s="123">
        <f t="shared" si="9"/>
        <v>1508.7</v>
      </c>
      <c r="DI11" s="123">
        <f t="shared" si="9"/>
        <v>48525.8</v>
      </c>
      <c r="DJ11" s="123">
        <f t="shared" si="9"/>
        <v>50</v>
      </c>
      <c r="DK11" s="123">
        <f t="shared" si="9"/>
        <v>24832.899999999998</v>
      </c>
      <c r="DL11" s="123">
        <f t="shared" si="9"/>
        <v>45941.299999999996</v>
      </c>
      <c r="DM11" s="123">
        <f t="shared" si="9"/>
        <v>14870.1</v>
      </c>
      <c r="DN11" s="123">
        <f t="shared" si="9"/>
        <v>60.9</v>
      </c>
      <c r="DO11" s="123">
        <f t="shared" si="9"/>
        <v>17101.8</v>
      </c>
      <c r="DP11" s="123">
        <f t="shared" si="9"/>
        <v>25090.5</v>
      </c>
      <c r="DQ11" s="123">
        <f t="shared" si="9"/>
        <v>91781.4</v>
      </c>
      <c r="DR11" s="123">
        <f t="shared" si="9"/>
        <v>720.7</v>
      </c>
      <c r="DS11" s="123">
        <f t="shared" si="9"/>
        <v>1164.5999999999999</v>
      </c>
      <c r="DT11" s="123">
        <f t="shared" si="9"/>
        <v>13690.6</v>
      </c>
      <c r="DU11" s="123">
        <f t="shared" si="9"/>
        <v>214.5</v>
      </c>
      <c r="DV11" s="123">
        <f t="shared" si="9"/>
        <v>42342.9</v>
      </c>
      <c r="DW11" s="123">
        <f t="shared" si="9"/>
        <v>725.8</v>
      </c>
      <c r="DX11" s="123">
        <f t="shared" si="9"/>
        <v>11409.3</v>
      </c>
      <c r="DY11" s="123">
        <f t="shared" si="9"/>
        <v>114064.2</v>
      </c>
      <c r="DZ11" s="123">
        <f t="shared" si="9"/>
        <v>126005.59999999999</v>
      </c>
      <c r="EA11" s="123">
        <f t="shared" si="9"/>
        <v>100672.3</v>
      </c>
      <c r="EB11" s="123">
        <f t="shared" ref="EB11:GD11" si="10">EB12+EB13+EB14+EB15+EB16+EB18+EB17+EB19+EB20</f>
        <v>179725.69999999998</v>
      </c>
      <c r="EC11" s="123">
        <f t="shared" si="10"/>
        <v>5639.1</v>
      </c>
      <c r="ED11" s="123">
        <f t="shared" si="10"/>
        <v>1154.0999999999999</v>
      </c>
      <c r="EE11" s="123">
        <f t="shared" si="10"/>
        <v>0</v>
      </c>
      <c r="EF11" s="123">
        <f t="shared" si="10"/>
        <v>14528.599999999999</v>
      </c>
      <c r="EG11" s="123">
        <f t="shared" si="10"/>
        <v>0</v>
      </c>
      <c r="EH11" s="123">
        <f t="shared" si="10"/>
        <v>703.2</v>
      </c>
      <c r="EI11" s="123">
        <f t="shared" si="10"/>
        <v>11759.499999999998</v>
      </c>
      <c r="EJ11" s="123">
        <f t="shared" si="10"/>
        <v>5</v>
      </c>
      <c r="EK11" s="123">
        <f t="shared" si="10"/>
        <v>1345</v>
      </c>
      <c r="EL11" s="123">
        <f t="shared" si="10"/>
        <v>84384.6</v>
      </c>
      <c r="EM11" s="123">
        <f t="shared" si="10"/>
        <v>6558.3</v>
      </c>
      <c r="EN11" s="123">
        <f t="shared" si="10"/>
        <v>4612664.5</v>
      </c>
      <c r="EO11" s="123">
        <f t="shared" si="10"/>
        <v>722</v>
      </c>
      <c r="EP11" s="123">
        <f t="shared" si="10"/>
        <v>95140.1</v>
      </c>
      <c r="EQ11" s="123">
        <f t="shared" si="10"/>
        <v>46433.8</v>
      </c>
      <c r="ER11" s="123">
        <f t="shared" si="10"/>
        <v>22621.9</v>
      </c>
      <c r="ES11" s="123">
        <f t="shared" si="10"/>
        <v>44677</v>
      </c>
      <c r="ET11" s="123">
        <f t="shared" si="10"/>
        <v>1367</v>
      </c>
      <c r="EU11" s="123">
        <f t="shared" si="10"/>
        <v>1244.3</v>
      </c>
      <c r="EV11" s="123">
        <f t="shared" si="10"/>
        <v>13035.1</v>
      </c>
      <c r="EW11" s="123">
        <f t="shared" si="10"/>
        <v>22824.400000000001</v>
      </c>
      <c r="EX11" s="123">
        <f t="shared" si="10"/>
        <v>226.2</v>
      </c>
      <c r="EY11" s="123">
        <f t="shared" si="10"/>
        <v>48821</v>
      </c>
      <c r="EZ11" s="123">
        <f t="shared" si="10"/>
        <v>7601</v>
      </c>
      <c r="FA11" s="123">
        <f t="shared" si="10"/>
        <v>3131898.6999999997</v>
      </c>
      <c r="FB11" s="123">
        <f t="shared" si="10"/>
        <v>277232.80000000005</v>
      </c>
      <c r="FC11" s="123">
        <f t="shared" si="10"/>
        <v>303512.09999999998</v>
      </c>
      <c r="FD11" s="123">
        <f t="shared" si="10"/>
        <v>482.3</v>
      </c>
      <c r="FE11" s="123">
        <f t="shared" si="10"/>
        <v>0</v>
      </c>
      <c r="FF11" s="123">
        <f t="shared" si="10"/>
        <v>2178.8000000000002</v>
      </c>
      <c r="FG11" s="123">
        <f t="shared" si="10"/>
        <v>3279.8</v>
      </c>
      <c r="FH11" s="123">
        <f t="shared" si="10"/>
        <v>5632.5</v>
      </c>
      <c r="FI11" s="123">
        <f t="shared" si="10"/>
        <v>400</v>
      </c>
      <c r="FJ11" s="123">
        <f t="shared" si="10"/>
        <v>77.099999999999994</v>
      </c>
      <c r="FK11" s="123">
        <f t="shared" si="10"/>
        <v>94293.9</v>
      </c>
      <c r="FL11" s="123">
        <f t="shared" si="10"/>
        <v>20160.7</v>
      </c>
      <c r="FM11" s="123">
        <f t="shared" si="10"/>
        <v>291520.59999999998</v>
      </c>
      <c r="FN11" s="123">
        <f t="shared" si="10"/>
        <v>67</v>
      </c>
      <c r="FO11" s="123">
        <f t="shared" si="10"/>
        <v>582.1</v>
      </c>
      <c r="FP11" s="123">
        <f t="shared" si="10"/>
        <v>344.2</v>
      </c>
      <c r="FQ11" s="123">
        <f t="shared" si="10"/>
        <v>1519830.5</v>
      </c>
      <c r="FR11" s="123">
        <f t="shared" si="10"/>
        <v>14707895.399999999</v>
      </c>
      <c r="FS11" s="123">
        <f t="shared" si="10"/>
        <v>3188187.4</v>
      </c>
      <c r="FT11" s="123">
        <f t="shared" si="10"/>
        <v>1795966.8</v>
      </c>
      <c r="FU11" s="123">
        <f t="shared" si="10"/>
        <v>42076.1</v>
      </c>
      <c r="FV11" s="123">
        <f t="shared" si="10"/>
        <v>92486.099999999991</v>
      </c>
      <c r="FW11" s="123">
        <f t="shared" si="10"/>
        <v>386905.30000000005</v>
      </c>
      <c r="FX11" s="123">
        <f t="shared" si="10"/>
        <v>97167.599999999991</v>
      </c>
      <c r="FY11" s="123">
        <f t="shared" si="10"/>
        <v>298.39999999999998</v>
      </c>
      <c r="FZ11" s="123">
        <f t="shared" si="10"/>
        <v>4336</v>
      </c>
      <c r="GA11" s="123">
        <f t="shared" si="10"/>
        <v>52280.4</v>
      </c>
      <c r="GB11" s="123">
        <f t="shared" si="10"/>
        <v>94</v>
      </c>
      <c r="GC11" s="123">
        <f t="shared" si="10"/>
        <v>18018.2</v>
      </c>
      <c r="GD11" s="123">
        <f t="shared" si="10"/>
        <v>69240.399999999994</v>
      </c>
      <c r="GE11" s="123">
        <f>GE12+GE13+GE14+GE15+GE16+GE18+GE17+GE19+GE20</f>
        <v>9500</v>
      </c>
      <c r="GF11" s="123">
        <f>GF12+GF13+GF14+GF15+GF16+GF18+GF17+GF19+GF20</f>
        <v>29028</v>
      </c>
      <c r="GG11" s="123">
        <f>GG12+GG13+GG14+GG15+GG16+GG18+GG17+GG19+GG20</f>
        <v>44465.2</v>
      </c>
      <c r="GH11" s="123">
        <f t="shared" ref="GH11:IQ11" si="11">GH12+GH13+GH14+GH15+GH16+GH18+GH17+GH19+GH20</f>
        <v>21485.599999999999</v>
      </c>
      <c r="GI11" s="123">
        <f t="shared" si="11"/>
        <v>65001.100000000006</v>
      </c>
      <c r="GJ11" s="123">
        <f t="shared" si="11"/>
        <v>5</v>
      </c>
      <c r="GK11" s="123">
        <f t="shared" si="11"/>
        <v>1757.8</v>
      </c>
      <c r="GL11" s="123">
        <f t="shared" si="11"/>
        <v>10</v>
      </c>
      <c r="GM11" s="123">
        <f t="shared" si="11"/>
        <v>344.1</v>
      </c>
      <c r="GN11" s="123">
        <f t="shared" si="11"/>
        <v>39230.5</v>
      </c>
      <c r="GO11" s="123">
        <f t="shared" si="11"/>
        <v>0.1</v>
      </c>
      <c r="GP11" s="123">
        <f t="shared" si="11"/>
        <v>50493.2</v>
      </c>
      <c r="GQ11" s="123">
        <f t="shared" si="11"/>
        <v>11772.8</v>
      </c>
      <c r="GR11" s="123">
        <f t="shared" si="11"/>
        <v>135</v>
      </c>
      <c r="GS11" s="123">
        <f t="shared" si="11"/>
        <v>93.6</v>
      </c>
      <c r="GT11" s="123">
        <f t="shared" si="11"/>
        <v>10</v>
      </c>
      <c r="GU11" s="123">
        <f t="shared" si="11"/>
        <v>263.5</v>
      </c>
      <c r="GV11" s="123">
        <f t="shared" si="11"/>
        <v>112.7</v>
      </c>
      <c r="GW11" s="123">
        <f t="shared" si="11"/>
        <v>0</v>
      </c>
      <c r="GX11" s="123">
        <f t="shared" si="11"/>
        <v>107.5</v>
      </c>
      <c r="GY11" s="123">
        <f t="shared" si="11"/>
        <v>682.6</v>
      </c>
      <c r="GZ11" s="123">
        <f t="shared" si="11"/>
        <v>10080.700000000001</v>
      </c>
      <c r="HA11" s="123">
        <f t="shared" si="11"/>
        <v>0</v>
      </c>
      <c r="HB11" s="123">
        <f t="shared" si="11"/>
        <v>13639</v>
      </c>
      <c r="HC11" s="123">
        <f t="shared" si="11"/>
        <v>1500</v>
      </c>
      <c r="HD11" s="123">
        <f t="shared" si="11"/>
        <v>50</v>
      </c>
      <c r="HE11" s="123">
        <f t="shared" si="11"/>
        <v>20</v>
      </c>
      <c r="HF11" s="123">
        <f t="shared" si="11"/>
        <v>35</v>
      </c>
      <c r="HG11" s="123">
        <f t="shared" si="11"/>
        <v>436.7</v>
      </c>
      <c r="HH11" s="123">
        <f t="shared" si="11"/>
        <v>436.7</v>
      </c>
      <c r="HI11" s="123">
        <f t="shared" si="11"/>
        <v>2395.4</v>
      </c>
      <c r="HJ11" s="123">
        <f t="shared" si="11"/>
        <v>0</v>
      </c>
      <c r="HK11" s="123">
        <f t="shared" si="11"/>
        <v>11856.4</v>
      </c>
      <c r="HL11" s="123">
        <f t="shared" si="11"/>
        <v>11805.599999999999</v>
      </c>
      <c r="HM11" s="123">
        <f t="shared" si="11"/>
        <v>500</v>
      </c>
      <c r="HN11" s="123">
        <f t="shared" si="11"/>
        <v>25347.899999999998</v>
      </c>
      <c r="HO11" s="123">
        <f t="shared" si="11"/>
        <v>100</v>
      </c>
      <c r="HP11" s="123">
        <f t="shared" si="11"/>
        <v>402.3</v>
      </c>
      <c r="HQ11" s="123">
        <f t="shared" si="11"/>
        <v>323</v>
      </c>
      <c r="HR11" s="123">
        <f t="shared" si="11"/>
        <v>0</v>
      </c>
      <c r="HS11" s="123">
        <f t="shared" si="11"/>
        <v>176498.5</v>
      </c>
      <c r="HT11" s="123">
        <f t="shared" si="11"/>
        <v>0</v>
      </c>
      <c r="HU11" s="123">
        <f t="shared" si="11"/>
        <v>1095.0999999999999</v>
      </c>
      <c r="HV11" s="123">
        <f t="shared" si="11"/>
        <v>43470.8</v>
      </c>
      <c r="HW11" s="123">
        <f t="shared" si="11"/>
        <v>0.1</v>
      </c>
      <c r="HX11" s="123">
        <f t="shared" si="11"/>
        <v>7664.4000000000005</v>
      </c>
      <c r="HY11" s="123">
        <f t="shared" si="11"/>
        <v>60</v>
      </c>
      <c r="HZ11" s="123">
        <f t="shared" si="11"/>
        <v>52478.799999999996</v>
      </c>
      <c r="IA11" s="123">
        <f t="shared" si="11"/>
        <v>139.20000000000002</v>
      </c>
      <c r="IB11" s="123">
        <f t="shared" si="11"/>
        <v>39561.5</v>
      </c>
      <c r="IC11" s="123">
        <f t="shared" si="11"/>
        <v>5</v>
      </c>
      <c r="ID11" s="123">
        <f t="shared" si="11"/>
        <v>250898</v>
      </c>
      <c r="IE11" s="123">
        <f t="shared" si="11"/>
        <v>337.1</v>
      </c>
      <c r="IF11" s="123">
        <f t="shared" si="11"/>
        <v>0</v>
      </c>
      <c r="IG11" s="123">
        <f t="shared" si="11"/>
        <v>635</v>
      </c>
      <c r="IH11" s="123">
        <f t="shared" si="11"/>
        <v>0</v>
      </c>
      <c r="II11" s="123">
        <f t="shared" si="11"/>
        <v>150</v>
      </c>
      <c r="IJ11" s="123">
        <f t="shared" si="11"/>
        <v>421.6</v>
      </c>
      <c r="IK11" s="123">
        <f t="shared" si="11"/>
        <v>43.5</v>
      </c>
      <c r="IL11" s="123">
        <f t="shared" si="11"/>
        <v>20</v>
      </c>
      <c r="IM11" s="123">
        <f t="shared" si="11"/>
        <v>8521.7000000000007</v>
      </c>
      <c r="IN11" s="123">
        <f t="shared" si="11"/>
        <v>0</v>
      </c>
      <c r="IO11" s="123">
        <f t="shared" si="11"/>
        <v>76.599999999999994</v>
      </c>
      <c r="IP11" s="123">
        <f t="shared" si="11"/>
        <v>41896.6</v>
      </c>
      <c r="IQ11" s="123">
        <f t="shared" si="11"/>
        <v>0</v>
      </c>
      <c r="IR11" s="123">
        <f t="shared" ref="IR11:KM11" si="12">IR12+IR13+IR14+IR15+IR16+IR18+IR17+IR19+IR20</f>
        <v>110986.8</v>
      </c>
      <c r="IS11" s="123">
        <f t="shared" si="12"/>
        <v>30684.100000000002</v>
      </c>
      <c r="IT11" s="123">
        <f t="shared" si="12"/>
        <v>10</v>
      </c>
      <c r="IU11" s="123">
        <f t="shared" si="12"/>
        <v>26043.599999999999</v>
      </c>
      <c r="IV11" s="123">
        <f t="shared" si="12"/>
        <v>0</v>
      </c>
      <c r="IW11" s="123">
        <f t="shared" si="12"/>
        <v>35707.599999999999</v>
      </c>
      <c r="IX11" s="123">
        <f t="shared" si="12"/>
        <v>9163.6</v>
      </c>
      <c r="IY11" s="123">
        <f t="shared" si="12"/>
        <v>197.8</v>
      </c>
      <c r="IZ11" s="123">
        <f t="shared" si="12"/>
        <v>100</v>
      </c>
      <c r="JA11" s="123">
        <f t="shared" si="12"/>
        <v>1667.3</v>
      </c>
      <c r="JB11" s="123">
        <f t="shared" si="12"/>
        <v>155.19999999999999</v>
      </c>
      <c r="JC11" s="123">
        <f t="shared" si="12"/>
        <v>0</v>
      </c>
      <c r="JD11" s="123">
        <f t="shared" si="12"/>
        <v>0</v>
      </c>
      <c r="JE11" s="123">
        <f t="shared" si="12"/>
        <v>0</v>
      </c>
      <c r="JF11" s="123">
        <f t="shared" si="12"/>
        <v>476</v>
      </c>
      <c r="JG11" s="123">
        <f t="shared" si="12"/>
        <v>0</v>
      </c>
      <c r="JH11" s="123">
        <f t="shared" si="12"/>
        <v>1280</v>
      </c>
      <c r="JI11" s="123">
        <f t="shared" si="12"/>
        <v>0</v>
      </c>
      <c r="JJ11" s="123">
        <f t="shared" si="12"/>
        <v>20776.5</v>
      </c>
      <c r="JK11" s="123">
        <f t="shared" si="12"/>
        <v>0</v>
      </c>
      <c r="JL11" s="123">
        <f t="shared" si="12"/>
        <v>349</v>
      </c>
      <c r="JM11" s="123">
        <f t="shared" si="12"/>
        <v>24416.100000000002</v>
      </c>
      <c r="JN11" s="123">
        <f t="shared" si="12"/>
        <v>0</v>
      </c>
      <c r="JO11" s="123">
        <f t="shared" si="12"/>
        <v>6531.9000000000005</v>
      </c>
      <c r="JP11" s="123">
        <f t="shared" si="12"/>
        <v>0</v>
      </c>
      <c r="JQ11" s="123">
        <f t="shared" si="12"/>
        <v>1400.1</v>
      </c>
      <c r="JR11" s="123">
        <f t="shared" si="12"/>
        <v>0</v>
      </c>
      <c r="JS11" s="123">
        <f t="shared" si="12"/>
        <v>5</v>
      </c>
      <c r="JT11" s="123">
        <f t="shared" si="12"/>
        <v>0</v>
      </c>
      <c r="JU11" s="123">
        <f t="shared" si="12"/>
        <v>132652.6</v>
      </c>
      <c r="JV11" s="123">
        <f t="shared" si="12"/>
        <v>908.6</v>
      </c>
      <c r="JW11" s="123">
        <f t="shared" si="12"/>
        <v>1746083.9</v>
      </c>
      <c r="JX11" s="123">
        <f t="shared" si="12"/>
        <v>0</v>
      </c>
      <c r="JY11" s="123">
        <f t="shared" si="12"/>
        <v>80</v>
      </c>
      <c r="JZ11" s="123">
        <f t="shared" si="12"/>
        <v>229.8</v>
      </c>
      <c r="KA11" s="123">
        <f t="shared" si="12"/>
        <v>301.3</v>
      </c>
      <c r="KB11" s="123">
        <f t="shared" si="12"/>
        <v>64</v>
      </c>
      <c r="KC11" s="123">
        <f t="shared" si="12"/>
        <v>743.5</v>
      </c>
      <c r="KD11" s="123">
        <f t="shared" si="12"/>
        <v>52.5</v>
      </c>
      <c r="KE11" s="123">
        <f t="shared" si="12"/>
        <v>0</v>
      </c>
      <c r="KF11" s="123">
        <f t="shared" si="12"/>
        <v>0</v>
      </c>
      <c r="KG11" s="123">
        <f t="shared" si="12"/>
        <v>162682.79999999999</v>
      </c>
      <c r="KH11" s="123">
        <f t="shared" si="12"/>
        <v>3597.2</v>
      </c>
      <c r="KI11" s="123">
        <f t="shared" si="12"/>
        <v>38461.4</v>
      </c>
      <c r="KJ11" s="123">
        <f t="shared" si="12"/>
        <v>160.5</v>
      </c>
      <c r="KK11" s="123">
        <f t="shared" si="12"/>
        <v>170.8</v>
      </c>
      <c r="KL11" s="123">
        <f t="shared" si="12"/>
        <v>82.9</v>
      </c>
      <c r="KM11" s="123">
        <f t="shared" si="12"/>
        <v>20808.400000000001</v>
      </c>
      <c r="KN11" s="123">
        <f t="shared" ref="KN11:LB11" si="13">KN12+KN13+KN14+KN15+KN16+KN18+KN17+KN19+KN20</f>
        <v>0</v>
      </c>
      <c r="KO11" s="123">
        <f t="shared" si="13"/>
        <v>1039.5</v>
      </c>
      <c r="KP11" s="123">
        <f t="shared" si="13"/>
        <v>5535.4</v>
      </c>
      <c r="KQ11" s="123">
        <f t="shared" si="13"/>
        <v>9640.2000000000007</v>
      </c>
      <c r="KR11" s="123">
        <f t="shared" si="13"/>
        <v>3181.2000000000003</v>
      </c>
      <c r="KS11" s="123">
        <f t="shared" si="13"/>
        <v>50</v>
      </c>
      <c r="KT11" s="123">
        <f t="shared" si="13"/>
        <v>2304.1</v>
      </c>
      <c r="KU11" s="123">
        <f t="shared" si="13"/>
        <v>122</v>
      </c>
      <c r="KV11" s="123">
        <f t="shared" si="13"/>
        <v>0</v>
      </c>
      <c r="KW11" s="123">
        <f t="shared" si="13"/>
        <v>506671.8</v>
      </c>
      <c r="KX11" s="123">
        <f t="shared" si="13"/>
        <v>0</v>
      </c>
      <c r="KY11" s="123">
        <f t="shared" si="13"/>
        <v>0</v>
      </c>
      <c r="KZ11" s="123">
        <f t="shared" si="13"/>
        <v>0</v>
      </c>
      <c r="LA11" s="123">
        <f t="shared" si="13"/>
        <v>110</v>
      </c>
      <c r="LB11" s="123">
        <f t="shared" si="13"/>
        <v>300</v>
      </c>
      <c r="LC11" s="123">
        <f t="shared" ref="LC11:MW11" si="14">LC12+LC13+LC14+LC15+LC16+LC18+LC17+LC19+LC20</f>
        <v>10</v>
      </c>
      <c r="LD11" s="123">
        <f t="shared" si="14"/>
        <v>2248.8000000000002</v>
      </c>
      <c r="LE11" s="123">
        <f t="shared" si="14"/>
        <v>1434.8</v>
      </c>
      <c r="LF11" s="123">
        <f t="shared" si="14"/>
        <v>5599433.2999999998</v>
      </c>
      <c r="LG11" s="123">
        <f t="shared" si="14"/>
        <v>21102.6</v>
      </c>
      <c r="LH11" s="123">
        <f t="shared" si="14"/>
        <v>120</v>
      </c>
      <c r="LI11" s="123">
        <f t="shared" si="14"/>
        <v>196.1</v>
      </c>
      <c r="LJ11" s="123">
        <f t="shared" si="14"/>
        <v>0</v>
      </c>
      <c r="LK11" s="123">
        <f t="shared" si="14"/>
        <v>111.1</v>
      </c>
      <c r="LL11" s="123">
        <f t="shared" si="14"/>
        <v>78.2</v>
      </c>
      <c r="LM11" s="123">
        <f t="shared" si="14"/>
        <v>30</v>
      </c>
      <c r="LN11" s="123">
        <f t="shared" si="14"/>
        <v>72802.3</v>
      </c>
      <c r="LO11" s="123">
        <f t="shared" si="14"/>
        <v>394.8</v>
      </c>
      <c r="LP11" s="123">
        <f t="shared" si="14"/>
        <v>0</v>
      </c>
      <c r="LQ11" s="123">
        <f t="shared" si="14"/>
        <v>10</v>
      </c>
      <c r="LR11" s="123">
        <f t="shared" si="14"/>
        <v>2576.1</v>
      </c>
      <c r="LS11" s="123">
        <f t="shared" si="14"/>
        <v>0.1</v>
      </c>
      <c r="LT11" s="123">
        <f t="shared" si="14"/>
        <v>260</v>
      </c>
      <c r="LU11" s="123">
        <f t="shared" si="14"/>
        <v>10</v>
      </c>
      <c r="LV11" s="123">
        <f t="shared" si="14"/>
        <v>8256.6</v>
      </c>
      <c r="LW11" s="123">
        <f t="shared" si="14"/>
        <v>337.1</v>
      </c>
      <c r="LX11" s="123">
        <f t="shared" si="14"/>
        <v>13224.699999999999</v>
      </c>
      <c r="LY11" s="123">
        <f t="shared" si="14"/>
        <v>0</v>
      </c>
      <c r="LZ11" s="123">
        <f t="shared" si="14"/>
        <v>10</v>
      </c>
      <c r="MA11" s="123">
        <f t="shared" si="14"/>
        <v>0</v>
      </c>
      <c r="MB11" s="123">
        <f t="shared" si="14"/>
        <v>563.5</v>
      </c>
      <c r="MC11" s="123">
        <f t="shared" si="14"/>
        <v>64</v>
      </c>
      <c r="MD11" s="123">
        <f t="shared" si="14"/>
        <v>371.7</v>
      </c>
      <c r="ME11" s="123">
        <f t="shared" si="14"/>
        <v>554.6</v>
      </c>
      <c r="MF11" s="123">
        <f t="shared" si="14"/>
        <v>225.5</v>
      </c>
      <c r="MG11" s="123">
        <f t="shared" si="14"/>
        <v>298</v>
      </c>
      <c r="MH11" s="123">
        <f t="shared" si="14"/>
        <v>0</v>
      </c>
      <c r="MI11" s="123">
        <f t="shared" si="14"/>
        <v>21910.199999999997</v>
      </c>
      <c r="MJ11" s="123">
        <f t="shared" si="14"/>
        <v>99</v>
      </c>
      <c r="MK11" s="123">
        <f t="shared" si="14"/>
        <v>8695.2000000000007</v>
      </c>
      <c r="ML11" s="123">
        <f t="shared" si="14"/>
        <v>1519161.0000000002</v>
      </c>
      <c r="MM11" s="123">
        <f t="shared" si="14"/>
        <v>8548.2000000000007</v>
      </c>
      <c r="MN11" s="123">
        <f t="shared" si="14"/>
        <v>57</v>
      </c>
      <c r="MO11" s="123">
        <f t="shared" si="14"/>
        <v>0</v>
      </c>
      <c r="MP11" s="123">
        <f t="shared" si="14"/>
        <v>110</v>
      </c>
      <c r="MQ11" s="123">
        <f t="shared" si="14"/>
        <v>811.39999999999986</v>
      </c>
      <c r="MR11" s="123">
        <f t="shared" si="14"/>
        <v>0</v>
      </c>
      <c r="MS11" s="123">
        <f t="shared" si="14"/>
        <v>0.5</v>
      </c>
      <c r="MT11" s="123">
        <f t="shared" si="14"/>
        <v>126.8</v>
      </c>
      <c r="MU11" s="123">
        <f t="shared" si="14"/>
        <v>1128.8</v>
      </c>
      <c r="MV11" s="123">
        <f t="shared" si="14"/>
        <v>61232.4</v>
      </c>
      <c r="MW11" s="123">
        <f t="shared" si="14"/>
        <v>13709.4</v>
      </c>
      <c r="MX11" s="124"/>
    </row>
    <row r="12" spans="1:362" ht="10.5" customHeight="1" thickBot="1" x14ac:dyDescent="0.25">
      <c r="A12" s="161" t="s">
        <v>516</v>
      </c>
      <c r="B12" s="160"/>
      <c r="C12" s="160">
        <f>SUM(D13:MW13)</f>
        <v>12564434.000000004</v>
      </c>
      <c r="D12" s="118">
        <v>0</v>
      </c>
      <c r="E12" s="118">
        <v>478.7</v>
      </c>
      <c r="F12" s="118"/>
      <c r="G12" s="118">
        <v>0</v>
      </c>
      <c r="H12" s="118">
        <v>0</v>
      </c>
      <c r="I12" s="118">
        <v>100</v>
      </c>
      <c r="J12" s="118">
        <v>54000</v>
      </c>
      <c r="K12" s="118">
        <v>4208.8999999999996</v>
      </c>
      <c r="L12" s="118">
        <v>11243.2</v>
      </c>
      <c r="M12" s="118"/>
      <c r="N12" s="118">
        <v>2730</v>
      </c>
      <c r="O12" s="126">
        <v>23995899.399999999</v>
      </c>
      <c r="P12" s="118">
        <v>4144.3999999999996</v>
      </c>
      <c r="Q12" s="118">
        <v>0</v>
      </c>
      <c r="R12" s="118">
        <v>3280</v>
      </c>
      <c r="S12" s="118">
        <v>602.29999999999995</v>
      </c>
      <c r="T12" s="118">
        <v>26420.7</v>
      </c>
      <c r="U12" s="118"/>
      <c r="V12" s="118">
        <v>218154.5</v>
      </c>
      <c r="W12" s="118">
        <v>2400</v>
      </c>
      <c r="X12" s="118">
        <f>30+200.4</f>
        <v>230.4</v>
      </c>
      <c r="Y12" s="118"/>
      <c r="Z12" s="118">
        <v>1500</v>
      </c>
      <c r="AA12" s="118"/>
      <c r="AB12" s="118">
        <v>901650.9</v>
      </c>
      <c r="AC12" s="118">
        <v>91.3</v>
      </c>
      <c r="AD12" s="118"/>
      <c r="AE12" s="118">
        <v>35463</v>
      </c>
      <c r="AF12" s="118"/>
      <c r="AG12" s="118">
        <v>114725.4</v>
      </c>
      <c r="AH12" s="118"/>
      <c r="AI12" s="118">
        <v>300</v>
      </c>
      <c r="AJ12" s="118"/>
      <c r="AK12" s="118">
        <v>5</v>
      </c>
      <c r="AL12" s="118"/>
      <c r="AM12" s="118">
        <v>3000</v>
      </c>
      <c r="AN12" s="118">
        <v>517.9</v>
      </c>
      <c r="AO12" s="118"/>
      <c r="AP12" s="118">
        <v>1608.5</v>
      </c>
      <c r="AQ12" s="118"/>
      <c r="AR12" s="118">
        <v>6310959.5999999996</v>
      </c>
      <c r="AS12" s="126">
        <v>23423089.899999999</v>
      </c>
      <c r="AT12" s="118"/>
      <c r="AU12" s="118">
        <v>50</v>
      </c>
      <c r="AV12" s="118"/>
      <c r="AW12" s="118">
        <v>5</v>
      </c>
      <c r="AX12" s="118">
        <v>48440.4</v>
      </c>
      <c r="AY12" s="118">
        <v>21626.9</v>
      </c>
      <c r="AZ12" s="118"/>
      <c r="BA12" s="118">
        <v>195.2</v>
      </c>
      <c r="BB12" s="118">
        <v>4315.8999999999996</v>
      </c>
      <c r="BC12" s="118">
        <v>10993.9</v>
      </c>
      <c r="BD12" s="118">
        <v>5.6</v>
      </c>
      <c r="BE12" s="118">
        <v>34.200000000000003</v>
      </c>
      <c r="BF12" s="118">
        <v>0.5</v>
      </c>
      <c r="BG12" s="118">
        <v>164422.9</v>
      </c>
      <c r="BH12" s="118">
        <v>123.7</v>
      </c>
      <c r="BI12" s="118">
        <v>142.9</v>
      </c>
      <c r="BJ12" s="118">
        <v>4674.1000000000004</v>
      </c>
      <c r="BK12" s="118"/>
      <c r="BL12" s="118">
        <v>500</v>
      </c>
      <c r="BM12" s="118">
        <v>13088.9</v>
      </c>
      <c r="BN12" s="118"/>
      <c r="BO12" s="118"/>
      <c r="BP12" s="118">
        <v>60</v>
      </c>
      <c r="BQ12" s="118">
        <v>1825</v>
      </c>
      <c r="BR12" s="118">
        <v>0.1</v>
      </c>
      <c r="BS12" s="118"/>
      <c r="BT12" s="118">
        <v>300</v>
      </c>
      <c r="BU12" s="118"/>
      <c r="BV12" s="118">
        <v>1045.8</v>
      </c>
      <c r="BW12" s="118">
        <v>318.2</v>
      </c>
      <c r="BX12" s="118">
        <v>2505.8000000000002</v>
      </c>
      <c r="BY12" s="118">
        <v>20</v>
      </c>
      <c r="BZ12" s="118">
        <v>3214.7</v>
      </c>
      <c r="CA12" s="118">
        <v>800</v>
      </c>
      <c r="CB12" s="118">
        <v>1</v>
      </c>
      <c r="CC12" s="118">
        <v>500</v>
      </c>
      <c r="CD12" s="118">
        <v>4527.1000000000004</v>
      </c>
      <c r="CE12" s="118"/>
      <c r="CF12" s="118"/>
      <c r="CG12" s="118"/>
      <c r="CH12" s="118">
        <v>5509.9</v>
      </c>
      <c r="CI12" s="118"/>
      <c r="CJ12" s="118">
        <v>853693.8</v>
      </c>
      <c r="CK12" s="118"/>
      <c r="CL12" s="118">
        <v>25836.9</v>
      </c>
      <c r="CM12" s="118">
        <v>11525430.6</v>
      </c>
      <c r="CN12" s="118"/>
      <c r="CO12" s="118">
        <v>2898.1</v>
      </c>
      <c r="CP12" s="118">
        <v>51694.6</v>
      </c>
      <c r="CQ12" s="118">
        <v>100</v>
      </c>
      <c r="CR12" s="118"/>
      <c r="CS12" s="118">
        <v>5</v>
      </c>
      <c r="CT12" s="118"/>
      <c r="CU12" s="118">
        <v>768.1</v>
      </c>
      <c r="CV12" s="118">
        <v>765.7</v>
      </c>
      <c r="CW12" s="118">
        <v>30100</v>
      </c>
      <c r="CX12" s="118">
        <v>73.8</v>
      </c>
      <c r="CY12" s="118">
        <v>150728.29999999999</v>
      </c>
      <c r="CZ12" s="118"/>
      <c r="DA12" s="118">
        <v>4462.1000000000004</v>
      </c>
      <c r="DB12" s="118"/>
      <c r="DC12" s="118">
        <v>1222.7</v>
      </c>
      <c r="DD12" s="118"/>
      <c r="DE12" s="118">
        <v>28325.200000000001</v>
      </c>
      <c r="DF12" s="118">
        <v>154.4</v>
      </c>
      <c r="DG12" s="118"/>
      <c r="DH12" s="118"/>
      <c r="DI12" s="118">
        <v>913.4</v>
      </c>
      <c r="DJ12" s="118"/>
      <c r="DK12" s="118">
        <v>45.6</v>
      </c>
      <c r="DL12" s="118"/>
      <c r="DM12" s="118">
        <v>2416.5</v>
      </c>
      <c r="DN12" s="118">
        <v>10</v>
      </c>
      <c r="DO12" s="118">
        <v>10</v>
      </c>
      <c r="DP12" s="118">
        <v>1444.8</v>
      </c>
      <c r="DQ12" s="118">
        <v>76826.8</v>
      </c>
      <c r="DR12" s="118"/>
      <c r="DS12" s="118">
        <v>53.7</v>
      </c>
      <c r="DT12" s="118">
        <v>5</v>
      </c>
      <c r="DU12" s="118">
        <v>95.5</v>
      </c>
      <c r="DV12" s="118"/>
      <c r="DW12" s="118"/>
      <c r="DX12" s="118"/>
      <c r="DY12" s="118">
        <v>4812.2</v>
      </c>
      <c r="DZ12" s="118"/>
      <c r="EA12" s="118">
        <v>2610</v>
      </c>
      <c r="EB12" s="118">
        <v>6264.8</v>
      </c>
      <c r="EC12" s="118">
        <v>5639.1</v>
      </c>
      <c r="ED12" s="118">
        <v>924.1</v>
      </c>
      <c r="EE12" s="118"/>
      <c r="EF12" s="118">
        <v>7137.7</v>
      </c>
      <c r="EG12" s="118"/>
      <c r="EH12" s="118">
        <v>173.2</v>
      </c>
      <c r="EI12" s="118"/>
      <c r="EJ12" s="118">
        <v>5</v>
      </c>
      <c r="EK12" s="118"/>
      <c r="EL12" s="118">
        <v>5</v>
      </c>
      <c r="EM12" s="118">
        <v>10.7</v>
      </c>
      <c r="EN12" s="118">
        <v>4253241.0999999996</v>
      </c>
      <c r="EO12" s="118">
        <v>416</v>
      </c>
      <c r="EP12" s="118">
        <v>47500</v>
      </c>
      <c r="EQ12" s="118">
        <v>662.3</v>
      </c>
      <c r="ER12" s="118">
        <v>935.9</v>
      </c>
      <c r="ES12" s="118">
        <v>321</v>
      </c>
      <c r="ET12" s="118">
        <v>846.2</v>
      </c>
      <c r="EU12" s="118">
        <v>375.8</v>
      </c>
      <c r="EV12" s="118">
        <v>0.1</v>
      </c>
      <c r="EW12" s="118">
        <v>7436.2</v>
      </c>
      <c r="EX12" s="118">
        <v>10.6</v>
      </c>
      <c r="EY12" s="118">
        <v>26194.9</v>
      </c>
      <c r="EZ12" s="118">
        <v>7397</v>
      </c>
      <c r="FA12" s="118">
        <v>620675.80000000005</v>
      </c>
      <c r="FB12" s="118">
        <v>3055.9</v>
      </c>
      <c r="FC12" s="118">
        <v>21000</v>
      </c>
      <c r="FD12" s="118">
        <v>5</v>
      </c>
      <c r="FE12" s="118"/>
      <c r="FF12" s="118">
        <v>2178.8000000000002</v>
      </c>
      <c r="FG12" s="118">
        <v>2300</v>
      </c>
      <c r="FH12" s="118">
        <v>2033.5</v>
      </c>
      <c r="FI12" s="118"/>
      <c r="FJ12" s="118">
        <v>10</v>
      </c>
      <c r="FK12" s="118">
        <v>2178.4</v>
      </c>
      <c r="FL12" s="118">
        <v>840.2</v>
      </c>
      <c r="FM12" s="118">
        <v>89223.4</v>
      </c>
      <c r="FN12" s="118"/>
      <c r="FO12" s="118">
        <v>358.1</v>
      </c>
      <c r="FP12" s="118"/>
      <c r="FQ12" s="118"/>
      <c r="FR12" s="118">
        <v>14687284.6</v>
      </c>
      <c r="FS12" s="118">
        <v>3059171.2</v>
      </c>
      <c r="FT12" s="118">
        <v>1650663.8</v>
      </c>
      <c r="FU12" s="118">
        <v>30719.599999999999</v>
      </c>
      <c r="FV12" s="118">
        <v>79500</v>
      </c>
      <c r="FW12" s="118">
        <v>4502.5</v>
      </c>
      <c r="FX12" s="118">
        <v>15000</v>
      </c>
      <c r="FY12" s="118"/>
      <c r="FZ12" s="118">
        <v>4336</v>
      </c>
      <c r="GA12" s="118">
        <v>50763.6</v>
      </c>
      <c r="GB12" s="118">
        <v>94</v>
      </c>
      <c r="GC12" s="118">
        <v>17925.8</v>
      </c>
      <c r="GD12" s="118">
        <v>1392.6</v>
      </c>
      <c r="GE12" s="118">
        <v>6000</v>
      </c>
      <c r="GF12" s="118">
        <v>29028</v>
      </c>
      <c r="GG12" s="118">
        <v>14048.9</v>
      </c>
      <c r="GH12" s="118">
        <v>10</v>
      </c>
      <c r="GI12" s="118"/>
      <c r="GJ12" s="118">
        <v>5</v>
      </c>
      <c r="GK12" s="118">
        <v>150</v>
      </c>
      <c r="GL12" s="118">
        <v>10</v>
      </c>
      <c r="GM12" s="118">
        <v>216.1</v>
      </c>
      <c r="GN12" s="118">
        <v>31539.8</v>
      </c>
      <c r="GO12" s="118">
        <v>0.1</v>
      </c>
      <c r="GP12" s="118"/>
      <c r="GQ12" s="118"/>
      <c r="GR12" s="118"/>
      <c r="GS12" s="118"/>
      <c r="GT12" s="118">
        <v>10</v>
      </c>
      <c r="GU12" s="118">
        <v>263.5</v>
      </c>
      <c r="GV12" s="118"/>
      <c r="GW12" s="118"/>
      <c r="GX12" s="118"/>
      <c r="GY12" s="118">
        <v>682.6</v>
      </c>
      <c r="GZ12" s="118">
        <v>0.5</v>
      </c>
      <c r="HA12" s="118"/>
      <c r="HB12" s="118">
        <v>12128.5</v>
      </c>
      <c r="HC12" s="118">
        <v>1320</v>
      </c>
      <c r="HD12" s="118">
        <v>50</v>
      </c>
      <c r="HE12" s="118">
        <v>20</v>
      </c>
      <c r="HF12" s="118"/>
      <c r="HG12" s="118">
        <v>436.7</v>
      </c>
      <c r="HH12" s="118">
        <v>436.7</v>
      </c>
      <c r="HI12" s="118">
        <v>1919.5</v>
      </c>
      <c r="HJ12" s="118"/>
      <c r="HK12" s="118">
        <v>1</v>
      </c>
      <c r="HL12" s="118">
        <v>8718.5</v>
      </c>
      <c r="HM12" s="118">
        <v>500</v>
      </c>
      <c r="HN12" s="118"/>
      <c r="HO12" s="118">
        <v>100</v>
      </c>
      <c r="HP12" s="118"/>
      <c r="HQ12" s="118"/>
      <c r="HR12" s="118"/>
      <c r="HS12" s="118">
        <v>27888.3</v>
      </c>
      <c r="HT12" s="118"/>
      <c r="HU12" s="118">
        <v>1095.0999999999999</v>
      </c>
      <c r="HV12" s="118">
        <v>100</v>
      </c>
      <c r="HW12" s="118">
        <v>0.1</v>
      </c>
      <c r="HX12" s="118"/>
      <c r="HY12" s="118">
        <v>60</v>
      </c>
      <c r="HZ12" s="118">
        <v>39060.6</v>
      </c>
      <c r="IA12" s="118">
        <v>18.8</v>
      </c>
      <c r="IB12" s="118">
        <f>11005+11005</f>
        <v>22010</v>
      </c>
      <c r="IC12" s="118">
        <v>5</v>
      </c>
      <c r="ID12" s="118">
        <v>102638.9</v>
      </c>
      <c r="IE12" s="118"/>
      <c r="IF12" s="118"/>
      <c r="IG12" s="118"/>
      <c r="IH12" s="118"/>
      <c r="II12" s="118">
        <v>150</v>
      </c>
      <c r="IJ12" s="118"/>
      <c r="IK12" s="118"/>
      <c r="IL12" s="118">
        <v>20</v>
      </c>
      <c r="IM12" s="118"/>
      <c r="IN12" s="118"/>
      <c r="IO12" s="118"/>
      <c r="IP12" s="118">
        <v>981.7</v>
      </c>
      <c r="IQ12" s="118"/>
      <c r="IR12" s="118"/>
      <c r="IS12" s="118">
        <v>300</v>
      </c>
      <c r="IT12" s="118">
        <v>10</v>
      </c>
      <c r="IU12" s="118">
        <v>25005.7</v>
      </c>
      <c r="IV12" s="118"/>
      <c r="IW12" s="118"/>
      <c r="IX12" s="118"/>
      <c r="IY12" s="118">
        <v>65.8</v>
      </c>
      <c r="IZ12" s="118">
        <v>100</v>
      </c>
      <c r="JA12" s="118"/>
      <c r="JB12" s="118">
        <v>0.1</v>
      </c>
      <c r="JC12" s="118"/>
      <c r="JD12" s="118"/>
      <c r="JE12" s="118"/>
      <c r="JF12" s="118">
        <v>286</v>
      </c>
      <c r="JG12" s="118"/>
      <c r="JH12" s="118">
        <v>1000</v>
      </c>
      <c r="JI12" s="118"/>
      <c r="JJ12" s="118">
        <v>92.4</v>
      </c>
      <c r="JK12" s="118"/>
      <c r="JL12" s="118"/>
      <c r="JM12" s="118">
        <v>24188.9</v>
      </c>
      <c r="JN12" s="118"/>
      <c r="JO12" s="118"/>
      <c r="JP12" s="118"/>
      <c r="JQ12" s="118">
        <f>0.1+1400</f>
        <v>1400.1</v>
      </c>
      <c r="JR12" s="118"/>
      <c r="JS12" s="118">
        <v>5</v>
      </c>
      <c r="JT12" s="118"/>
      <c r="JU12" s="118">
        <v>10</v>
      </c>
      <c r="JV12" s="118">
        <v>10</v>
      </c>
      <c r="JW12" s="118">
        <v>17995.5</v>
      </c>
      <c r="JX12" s="118"/>
      <c r="JY12" s="118">
        <v>80</v>
      </c>
      <c r="JZ12" s="118"/>
      <c r="KA12" s="118">
        <v>89</v>
      </c>
      <c r="KB12" s="118">
        <v>64</v>
      </c>
      <c r="KC12" s="118"/>
      <c r="KD12" s="118"/>
      <c r="KE12" s="118"/>
      <c r="KF12" s="118"/>
      <c r="KG12" s="118">
        <v>9557.9</v>
      </c>
      <c r="KH12" s="118">
        <v>3597.2</v>
      </c>
      <c r="KI12" s="118">
        <v>111</v>
      </c>
      <c r="KJ12" s="118">
        <v>60.5</v>
      </c>
      <c r="KK12" s="118"/>
      <c r="KL12" s="118">
        <v>82.9</v>
      </c>
      <c r="KM12" s="118">
        <v>120.5</v>
      </c>
      <c r="KN12" s="118"/>
      <c r="KO12" s="118">
        <v>5</v>
      </c>
      <c r="KP12" s="118">
        <v>5357.9</v>
      </c>
      <c r="KQ12" s="118">
        <v>1500</v>
      </c>
      <c r="KR12" s="118">
        <v>1715</v>
      </c>
      <c r="KS12" s="118">
        <v>50</v>
      </c>
      <c r="KT12" s="118"/>
      <c r="KU12" s="118">
        <v>122</v>
      </c>
      <c r="KV12" s="118"/>
      <c r="KW12" s="118">
        <v>505627.6</v>
      </c>
      <c r="KX12" s="118"/>
      <c r="KY12" s="118"/>
      <c r="KZ12" s="118"/>
      <c r="LA12" s="118">
        <v>110</v>
      </c>
      <c r="LB12" s="118">
        <v>300</v>
      </c>
      <c r="LC12" s="118">
        <v>10</v>
      </c>
      <c r="LD12" s="118">
        <v>248.8</v>
      </c>
      <c r="LE12" s="118">
        <v>1199.5999999999999</v>
      </c>
      <c r="LF12" s="118">
        <v>5278886.5</v>
      </c>
      <c r="LG12" s="118">
        <v>17899.3</v>
      </c>
      <c r="LH12" s="118">
        <v>120</v>
      </c>
      <c r="LI12" s="118">
        <v>0.1</v>
      </c>
      <c r="LJ12" s="118"/>
      <c r="LK12" s="118">
        <v>10</v>
      </c>
      <c r="LL12" s="118"/>
      <c r="LM12" s="118">
        <v>30</v>
      </c>
      <c r="LN12" s="118">
        <v>48785.4</v>
      </c>
      <c r="LO12" s="118">
        <v>394.8</v>
      </c>
      <c r="LP12" s="118"/>
      <c r="LQ12" s="118">
        <v>10</v>
      </c>
      <c r="LR12" s="118">
        <v>2576.1</v>
      </c>
      <c r="LS12" s="118">
        <v>0.1</v>
      </c>
      <c r="LT12" s="118"/>
      <c r="LU12" s="118">
        <v>10</v>
      </c>
      <c r="LV12" s="118">
        <v>8000</v>
      </c>
      <c r="LW12" s="118">
        <v>337.1</v>
      </c>
      <c r="LX12" s="118">
        <v>278.8</v>
      </c>
      <c r="LY12" s="118"/>
      <c r="LZ12" s="118">
        <v>10</v>
      </c>
      <c r="MA12" s="118"/>
      <c r="MB12" s="118">
        <v>563.5</v>
      </c>
      <c r="MC12" s="118">
        <v>20</v>
      </c>
      <c r="MD12" s="118">
        <v>56.2</v>
      </c>
      <c r="ME12" s="118">
        <v>190.4</v>
      </c>
      <c r="MF12" s="118">
        <v>61.5</v>
      </c>
      <c r="MG12" s="118">
        <v>298</v>
      </c>
      <c r="MH12" s="118"/>
      <c r="MI12" s="118"/>
      <c r="MJ12" s="118"/>
      <c r="MK12" s="118">
        <v>1536.5</v>
      </c>
      <c r="ML12" s="118">
        <v>1363684.3</v>
      </c>
      <c r="MM12" s="118"/>
      <c r="MN12" s="118">
        <v>57</v>
      </c>
      <c r="MO12" s="118"/>
      <c r="MP12" s="118"/>
      <c r="MQ12" s="118">
        <v>432.9</v>
      </c>
      <c r="MR12" s="118"/>
      <c r="MS12" s="118">
        <v>0.5</v>
      </c>
      <c r="MT12" s="118">
        <v>8.6</v>
      </c>
      <c r="MU12" s="118">
        <v>10</v>
      </c>
      <c r="MV12" s="118">
        <v>5</v>
      </c>
      <c r="MW12" s="118"/>
      <c r="MX12" s="114"/>
    </row>
    <row r="13" spans="1:362" s="8" customFormat="1" ht="10.5" customHeight="1" thickBot="1" x14ac:dyDescent="0.3">
      <c r="A13" s="158" t="s">
        <v>517</v>
      </c>
      <c r="B13" s="159"/>
      <c r="C13" s="160">
        <f>SUM(D14:MW14)</f>
        <v>185979242.00000012</v>
      </c>
      <c r="D13" s="127">
        <v>0</v>
      </c>
      <c r="E13" s="127"/>
      <c r="F13" s="127"/>
      <c r="G13" s="127">
        <v>0</v>
      </c>
      <c r="H13" s="127">
        <v>0</v>
      </c>
      <c r="I13" s="127"/>
      <c r="J13" s="127"/>
      <c r="K13" s="127">
        <v>709.7</v>
      </c>
      <c r="L13" s="127"/>
      <c r="M13" s="127">
        <v>992.5</v>
      </c>
      <c r="N13" s="127">
        <v>4409.8999999999996</v>
      </c>
      <c r="O13" s="127">
        <v>6483309.5</v>
      </c>
      <c r="P13" s="127"/>
      <c r="Q13" s="127">
        <v>0</v>
      </c>
      <c r="R13" s="127"/>
      <c r="S13" s="127"/>
      <c r="T13" s="127"/>
      <c r="U13" s="127">
        <v>547.29999999999995</v>
      </c>
      <c r="V13" s="127">
        <v>165884.79999999999</v>
      </c>
      <c r="W13" s="127"/>
      <c r="X13" s="127"/>
      <c r="Y13" s="127">
        <v>57510.9</v>
      </c>
      <c r="Z13" s="127"/>
      <c r="AA13" s="127"/>
      <c r="AB13" s="127"/>
      <c r="AC13" s="127"/>
      <c r="AD13" s="127"/>
      <c r="AE13" s="127">
        <v>32299.9</v>
      </c>
      <c r="AF13" s="127"/>
      <c r="AG13" s="127">
        <v>127138.5</v>
      </c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>
        <v>1531674.3</v>
      </c>
      <c r="AS13" s="127">
        <v>17626.8</v>
      </c>
      <c r="AT13" s="127">
        <v>10891.4</v>
      </c>
      <c r="AU13" s="127"/>
      <c r="AV13" s="127">
        <v>577.6</v>
      </c>
      <c r="AW13" s="127">
        <v>319.8</v>
      </c>
      <c r="AX13" s="127">
        <v>385651.4</v>
      </c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>
        <v>1297.5</v>
      </c>
      <c r="BM13" s="127">
        <v>35380</v>
      </c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>
        <v>589.9</v>
      </c>
      <c r="CI13" s="127"/>
      <c r="CJ13" s="127">
        <v>242030.5</v>
      </c>
      <c r="CK13" s="127"/>
      <c r="CL13" s="127">
        <v>218.3</v>
      </c>
      <c r="CM13" s="127">
        <v>1039600.2</v>
      </c>
      <c r="CN13" s="127"/>
      <c r="CO13" s="127"/>
      <c r="CP13" s="127">
        <v>60274</v>
      </c>
      <c r="CQ13" s="127"/>
      <c r="CR13" s="127"/>
      <c r="CS13" s="127">
        <v>1928.8</v>
      </c>
      <c r="CT13" s="127"/>
      <c r="CU13" s="127">
        <v>49.5</v>
      </c>
      <c r="CV13" s="127"/>
      <c r="CW13" s="127">
        <v>4936.3999999999996</v>
      </c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>
        <v>2497.1999999999998</v>
      </c>
      <c r="DM13" s="127"/>
      <c r="DN13" s="127"/>
      <c r="DO13" s="127"/>
      <c r="DP13" s="127">
        <v>23375.7</v>
      </c>
      <c r="DQ13" s="127">
        <v>12725.4</v>
      </c>
      <c r="DR13" s="127"/>
      <c r="DS13" s="127">
        <v>575.4</v>
      </c>
      <c r="DT13" s="127">
        <v>9749.1</v>
      </c>
      <c r="DU13" s="127"/>
      <c r="DV13" s="127"/>
      <c r="DW13" s="127"/>
      <c r="DX13" s="127"/>
      <c r="DY13" s="127"/>
      <c r="DZ13" s="127">
        <v>21244.400000000001</v>
      </c>
      <c r="EA13" s="127"/>
      <c r="EB13" s="127">
        <v>1624.5</v>
      </c>
      <c r="EC13" s="127"/>
      <c r="ED13" s="127"/>
      <c r="EE13" s="127"/>
      <c r="EF13" s="127">
        <v>5112.8999999999996</v>
      </c>
      <c r="EG13" s="127"/>
      <c r="EH13" s="127"/>
      <c r="EI13" s="127">
        <v>288.3</v>
      </c>
      <c r="EJ13" s="127"/>
      <c r="EK13" s="127"/>
      <c r="EL13" s="127">
        <v>641.1</v>
      </c>
      <c r="EM13" s="127"/>
      <c r="EN13" s="127">
        <v>172959.4</v>
      </c>
      <c r="EO13" s="127"/>
      <c r="EP13" s="127">
        <v>11640.3</v>
      </c>
      <c r="EQ13" s="127"/>
      <c r="ER13" s="127"/>
      <c r="ES13" s="127"/>
      <c r="ET13" s="127"/>
      <c r="EU13" s="127"/>
      <c r="EV13" s="127"/>
      <c r="EW13" s="127">
        <v>6086.1</v>
      </c>
      <c r="EX13" s="127"/>
      <c r="EY13" s="127">
        <v>22626.1</v>
      </c>
      <c r="EZ13" s="127"/>
      <c r="FA13" s="127">
        <v>66804.5</v>
      </c>
      <c r="FB13" s="127"/>
      <c r="FC13" s="127">
        <v>282023</v>
      </c>
      <c r="FD13" s="127"/>
      <c r="FE13" s="127"/>
      <c r="FF13" s="127"/>
      <c r="FG13" s="127"/>
      <c r="FH13" s="127"/>
      <c r="FI13" s="127"/>
      <c r="FJ13" s="127"/>
      <c r="FK13" s="127">
        <v>80697</v>
      </c>
      <c r="FL13" s="127">
        <v>8682.1</v>
      </c>
      <c r="FM13" s="127">
        <v>102432.3</v>
      </c>
      <c r="FN13" s="127"/>
      <c r="FO13" s="127"/>
      <c r="FP13" s="127"/>
      <c r="FQ13" s="127">
        <v>290590.40000000002</v>
      </c>
      <c r="FR13" s="127">
        <v>15257</v>
      </c>
      <c r="FS13" s="127">
        <v>104349.4</v>
      </c>
      <c r="FT13" s="127">
        <v>106569.2</v>
      </c>
      <c r="FU13" s="127">
        <v>4246.2</v>
      </c>
      <c r="FV13" s="127">
        <v>7746</v>
      </c>
      <c r="FW13" s="127"/>
      <c r="FX13" s="127">
        <v>51184.4</v>
      </c>
      <c r="FY13" s="127"/>
      <c r="FZ13" s="127"/>
      <c r="GA13" s="127">
        <v>1516.8</v>
      </c>
      <c r="GB13" s="127"/>
      <c r="GC13" s="127"/>
      <c r="GD13" s="127">
        <v>8991.1</v>
      </c>
      <c r="GE13" s="127"/>
      <c r="GF13" s="127"/>
      <c r="GG13" s="127"/>
      <c r="GH13" s="127">
        <v>3806</v>
      </c>
      <c r="GI13" s="127">
        <v>51504.4</v>
      </c>
      <c r="GJ13" s="127"/>
      <c r="GK13" s="127"/>
      <c r="GL13" s="127"/>
      <c r="GM13" s="127"/>
      <c r="GN13" s="127">
        <v>1450.6</v>
      </c>
      <c r="GO13" s="127"/>
      <c r="GP13" s="127"/>
      <c r="GQ13" s="127">
        <v>7987</v>
      </c>
      <c r="GR13" s="127"/>
      <c r="GS13" s="127"/>
      <c r="GT13" s="127"/>
      <c r="GU13" s="127"/>
      <c r="GV13" s="127"/>
      <c r="GW13" s="127"/>
      <c r="GX13" s="127"/>
      <c r="GY13" s="127"/>
      <c r="GZ13" s="127">
        <v>7045.4</v>
      </c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>
        <v>21100.1</v>
      </c>
      <c r="HO13" s="127"/>
      <c r="HP13" s="127"/>
      <c r="HQ13" s="127"/>
      <c r="HR13" s="127"/>
      <c r="HS13" s="127">
        <v>148610.20000000001</v>
      </c>
      <c r="HT13" s="127"/>
      <c r="HU13" s="127"/>
      <c r="HV13" s="127"/>
      <c r="HW13" s="127"/>
      <c r="HX13" s="127"/>
      <c r="HY13" s="127"/>
      <c r="HZ13" s="127"/>
      <c r="IA13" s="127"/>
      <c r="IB13" s="127">
        <v>17551.5</v>
      </c>
      <c r="IC13" s="127"/>
      <c r="ID13" s="127">
        <v>148168.1</v>
      </c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>
        <v>687.1</v>
      </c>
      <c r="IV13" s="127"/>
      <c r="IW13" s="127"/>
      <c r="IX13" s="127"/>
      <c r="IY13" s="127"/>
      <c r="IZ13" s="127"/>
      <c r="JA13" s="127">
        <v>1468.3</v>
      </c>
      <c r="JB13" s="127"/>
      <c r="JC13" s="127"/>
      <c r="JD13" s="127"/>
      <c r="JE13" s="127"/>
      <c r="JF13" s="127"/>
      <c r="JG13" s="127"/>
      <c r="JH13" s="127"/>
      <c r="JI13" s="127"/>
      <c r="JJ13" s="127"/>
      <c r="JK13" s="127"/>
      <c r="JL13" s="127"/>
      <c r="JM13" s="127"/>
      <c r="JN13" s="127"/>
      <c r="JO13" s="127">
        <v>6391.3</v>
      </c>
      <c r="JP13" s="127"/>
      <c r="JQ13" s="127"/>
      <c r="JR13" s="127"/>
      <c r="JS13" s="127"/>
      <c r="JT13" s="127"/>
      <c r="JU13" s="127"/>
      <c r="JV13" s="127">
        <v>898.6</v>
      </c>
      <c r="JW13" s="127"/>
      <c r="JX13" s="127"/>
      <c r="JY13" s="127"/>
      <c r="JZ13" s="127"/>
      <c r="KA13" s="127">
        <v>212.3</v>
      </c>
      <c r="KB13" s="127"/>
      <c r="KC13" s="127">
        <v>713.5</v>
      </c>
      <c r="KD13" s="127"/>
      <c r="KE13" s="127"/>
      <c r="KF13" s="127"/>
      <c r="KG13" s="127"/>
      <c r="KH13" s="127"/>
      <c r="KI13" s="127"/>
      <c r="KJ13" s="127"/>
      <c r="KK13" s="127"/>
      <c r="KL13" s="127"/>
      <c r="KM13" s="127"/>
      <c r="KN13" s="127"/>
      <c r="KO13" s="127"/>
      <c r="KP13" s="127"/>
      <c r="KQ13" s="127"/>
      <c r="KR13" s="127">
        <v>1355.8</v>
      </c>
      <c r="KS13" s="127"/>
      <c r="KT13" s="127"/>
      <c r="KU13" s="127"/>
      <c r="KV13" s="127"/>
      <c r="KW13" s="127"/>
      <c r="KX13" s="127"/>
      <c r="KY13" s="127"/>
      <c r="KZ13" s="127"/>
      <c r="LA13" s="127"/>
      <c r="LB13" s="127"/>
      <c r="LC13" s="127"/>
      <c r="LD13" s="127"/>
      <c r="LE13" s="127"/>
      <c r="LF13" s="127">
        <v>318167.59999999998</v>
      </c>
      <c r="LG13" s="127">
        <v>2546</v>
      </c>
      <c r="LH13" s="127"/>
      <c r="LI13" s="127"/>
      <c r="LJ13" s="127"/>
      <c r="LK13" s="127">
        <v>101.1</v>
      </c>
      <c r="LL13" s="127"/>
      <c r="LM13" s="127"/>
      <c r="LN13" s="127"/>
      <c r="LO13" s="127"/>
      <c r="LP13" s="127"/>
      <c r="LQ13" s="127"/>
      <c r="LR13" s="127"/>
      <c r="LS13" s="127"/>
      <c r="LT13" s="127"/>
      <c r="LU13" s="127"/>
      <c r="LV13" s="127"/>
      <c r="LW13" s="127"/>
      <c r="LX13" s="127">
        <v>12500.1</v>
      </c>
      <c r="LY13" s="127"/>
      <c r="LZ13" s="127"/>
      <c r="MA13" s="127"/>
      <c r="MB13" s="127"/>
      <c r="MC13" s="127"/>
      <c r="MD13" s="127"/>
      <c r="ME13" s="127">
        <v>300.2</v>
      </c>
      <c r="MF13" s="127"/>
      <c r="MG13" s="127"/>
      <c r="MH13" s="127"/>
      <c r="MI13" s="127">
        <v>13710.6</v>
      </c>
      <c r="MJ13" s="127"/>
      <c r="MK13" s="127">
        <v>370.5</v>
      </c>
      <c r="ML13" s="127">
        <v>154156.6</v>
      </c>
      <c r="MM13" s="127">
        <v>492.5</v>
      </c>
      <c r="MN13" s="127"/>
      <c r="MO13" s="127"/>
      <c r="MP13" s="127"/>
      <c r="MQ13" s="127">
        <v>225.7</v>
      </c>
      <c r="MR13" s="127"/>
      <c r="MS13" s="127"/>
      <c r="MT13" s="127"/>
      <c r="MU13" s="127">
        <v>1118.8</v>
      </c>
      <c r="MV13" s="127"/>
      <c r="MW13" s="127">
        <v>13709.4</v>
      </c>
      <c r="MX13" s="128"/>
    </row>
    <row r="14" spans="1:362" ht="10.5" customHeight="1" thickBot="1" x14ac:dyDescent="0.25">
      <c r="A14" s="158" t="s">
        <v>518</v>
      </c>
      <c r="B14" s="159"/>
      <c r="C14" s="160">
        <f>SUM(D15:MW15)</f>
        <v>2550155.5999999987</v>
      </c>
      <c r="D14" s="118">
        <v>0</v>
      </c>
      <c r="E14" s="118">
        <v>2363.1999999999998</v>
      </c>
      <c r="F14" s="118">
        <v>244638.5</v>
      </c>
      <c r="G14" s="118">
        <v>0</v>
      </c>
      <c r="H14" s="118">
        <v>0</v>
      </c>
      <c r="I14" s="118"/>
      <c r="J14" s="118"/>
      <c r="K14" s="118"/>
      <c r="L14" s="118">
        <v>58211.1</v>
      </c>
      <c r="M14" s="118"/>
      <c r="N14" s="118"/>
      <c r="O14" s="126">
        <v>170257543.80000001</v>
      </c>
      <c r="P14" s="118"/>
      <c r="Q14" s="118">
        <v>0</v>
      </c>
      <c r="R14" s="118"/>
      <c r="S14" s="118">
        <v>4000</v>
      </c>
      <c r="T14" s="118">
        <v>13224.1</v>
      </c>
      <c r="U14" s="118"/>
      <c r="V14" s="118"/>
      <c r="W14" s="118">
        <v>6000</v>
      </c>
      <c r="X14" s="118"/>
      <c r="Y14" s="118">
        <v>4907.3</v>
      </c>
      <c r="Z14" s="118">
        <v>12968.2</v>
      </c>
      <c r="AA14" s="118">
        <v>14800.3</v>
      </c>
      <c r="AB14" s="118"/>
      <c r="AC14" s="118"/>
      <c r="AD14" s="118">
        <v>2043.3</v>
      </c>
      <c r="AE14" s="118">
        <v>499482.7</v>
      </c>
      <c r="AF14" s="118"/>
      <c r="AG14" s="118"/>
      <c r="AH14" s="118"/>
      <c r="AI14" s="118"/>
      <c r="AJ14" s="118"/>
      <c r="AK14" s="118"/>
      <c r="AL14" s="118">
        <v>2131.8000000000002</v>
      </c>
      <c r="AM14" s="118"/>
      <c r="AN14" s="118"/>
      <c r="AO14" s="118"/>
      <c r="AP14" s="118">
        <v>9223.7000000000007</v>
      </c>
      <c r="AQ14" s="118"/>
      <c r="AR14" s="118"/>
      <c r="AS14" s="126">
        <v>1810177.3</v>
      </c>
      <c r="AT14" s="118">
        <v>89291.9</v>
      </c>
      <c r="AU14" s="118"/>
      <c r="AV14" s="118"/>
      <c r="AW14" s="118">
        <v>43709.2</v>
      </c>
      <c r="AX14" s="118">
        <v>3396672.1</v>
      </c>
      <c r="AY14" s="118"/>
      <c r="AZ14" s="118">
        <v>6217</v>
      </c>
      <c r="BA14" s="118"/>
      <c r="BB14" s="118">
        <v>26047.5</v>
      </c>
      <c r="BC14" s="118">
        <v>128833.7</v>
      </c>
      <c r="BD14" s="118"/>
      <c r="BE14" s="118">
        <v>1160.8</v>
      </c>
      <c r="BF14" s="118"/>
      <c r="BG14" s="118">
        <v>317419.5</v>
      </c>
      <c r="BH14" s="118">
        <v>4447.3999999999996</v>
      </c>
      <c r="BI14" s="118">
        <v>2500.1999999999998</v>
      </c>
      <c r="BJ14" s="118">
        <v>45008.4</v>
      </c>
      <c r="BK14" s="118"/>
      <c r="BL14" s="118">
        <v>163012.6</v>
      </c>
      <c r="BM14" s="118"/>
      <c r="BN14" s="118">
        <v>13505</v>
      </c>
      <c r="BO14" s="118"/>
      <c r="BP14" s="118">
        <v>7588.8</v>
      </c>
      <c r="BQ14" s="118">
        <v>69780.5</v>
      </c>
      <c r="BR14" s="118"/>
      <c r="BS14" s="118"/>
      <c r="BT14" s="118">
        <v>2820.9</v>
      </c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>
        <v>5045</v>
      </c>
      <c r="CH14" s="118">
        <v>32581.9</v>
      </c>
      <c r="CI14" s="118"/>
      <c r="CJ14" s="118">
        <v>420245.9</v>
      </c>
      <c r="CK14" s="118"/>
      <c r="CL14" s="118"/>
      <c r="CM14" s="118"/>
      <c r="CN14" s="118">
        <v>1500</v>
      </c>
      <c r="CO14" s="118"/>
      <c r="CP14" s="118">
        <v>1171873.5</v>
      </c>
      <c r="CQ14" s="118"/>
      <c r="CR14" s="118"/>
      <c r="CS14" s="118">
        <v>1222</v>
      </c>
      <c r="CT14" s="118"/>
      <c r="CU14" s="118"/>
      <c r="CV14" s="118">
        <v>4292.3999999999996</v>
      </c>
      <c r="CW14" s="118"/>
      <c r="CX14" s="118"/>
      <c r="CY14" s="118">
        <v>528865.5</v>
      </c>
      <c r="CZ14" s="118"/>
      <c r="DA14" s="118"/>
      <c r="DB14" s="118"/>
      <c r="DC14" s="118"/>
      <c r="DD14" s="118"/>
      <c r="DE14" s="118">
        <v>10193</v>
      </c>
      <c r="DF14" s="118"/>
      <c r="DG14" s="118"/>
      <c r="DH14" s="118"/>
      <c r="DI14" s="118">
        <v>46997.1</v>
      </c>
      <c r="DJ14" s="118"/>
      <c r="DK14" s="118">
        <v>24316.7</v>
      </c>
      <c r="DL14" s="118">
        <v>43164.4</v>
      </c>
      <c r="DM14" s="118">
        <v>12449.1</v>
      </c>
      <c r="DN14" s="118"/>
      <c r="DO14" s="118">
        <v>17091.8</v>
      </c>
      <c r="DP14" s="118"/>
      <c r="DQ14" s="118"/>
      <c r="DR14" s="118"/>
      <c r="DS14" s="118"/>
      <c r="DT14" s="118"/>
      <c r="DU14" s="118"/>
      <c r="DV14" s="118">
        <v>42342.9</v>
      </c>
      <c r="DW14" s="118">
        <v>3.1</v>
      </c>
      <c r="DX14" s="118">
        <v>11409.3</v>
      </c>
      <c r="DY14" s="118">
        <v>109138</v>
      </c>
      <c r="DZ14" s="118">
        <v>104071</v>
      </c>
      <c r="EA14" s="118">
        <v>96943.1</v>
      </c>
      <c r="EB14" s="118">
        <v>171505.3</v>
      </c>
      <c r="EC14" s="118"/>
      <c r="ED14" s="118"/>
      <c r="EE14" s="118"/>
      <c r="EF14" s="118"/>
      <c r="EG14" s="118"/>
      <c r="EH14" s="118"/>
      <c r="EI14" s="118">
        <v>9591.7999999999993</v>
      </c>
      <c r="EJ14" s="118"/>
      <c r="EK14" s="118"/>
      <c r="EL14" s="118">
        <v>81218.2</v>
      </c>
      <c r="EM14" s="118">
        <v>6547.6</v>
      </c>
      <c r="EN14" s="118"/>
      <c r="EO14" s="118"/>
      <c r="EP14" s="118"/>
      <c r="EQ14" s="118">
        <v>45502.6</v>
      </c>
      <c r="ER14" s="118">
        <v>21315.200000000001</v>
      </c>
      <c r="ES14" s="118">
        <v>44031.4</v>
      </c>
      <c r="ET14" s="118"/>
      <c r="EU14" s="118"/>
      <c r="EV14" s="118">
        <v>13000</v>
      </c>
      <c r="EW14" s="118"/>
      <c r="EX14" s="118"/>
      <c r="EY14" s="118"/>
      <c r="EZ14" s="118"/>
      <c r="FA14" s="118">
        <v>2431726.7999999998</v>
      </c>
      <c r="FB14" s="118">
        <v>274176.90000000002</v>
      </c>
      <c r="FC14" s="118"/>
      <c r="FD14" s="118"/>
      <c r="FE14" s="118"/>
      <c r="FF14" s="118"/>
      <c r="FG14" s="118"/>
      <c r="FH14" s="118">
        <v>3500</v>
      </c>
      <c r="FI14" s="118"/>
      <c r="FJ14" s="118"/>
      <c r="FK14" s="118">
        <v>3829.4</v>
      </c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>
        <v>378490.4</v>
      </c>
      <c r="FX14" s="118"/>
      <c r="FY14" s="118"/>
      <c r="FZ14" s="118"/>
      <c r="GA14" s="118"/>
      <c r="GB14" s="118"/>
      <c r="GC14" s="118"/>
      <c r="GD14" s="118"/>
      <c r="GE14" s="118">
        <v>3500</v>
      </c>
      <c r="GF14" s="118"/>
      <c r="GG14" s="118">
        <v>30416.3</v>
      </c>
      <c r="GH14" s="118">
        <v>17669.599999999999</v>
      </c>
      <c r="GI14" s="118"/>
      <c r="GJ14" s="118"/>
      <c r="GK14" s="118">
        <v>1267.8</v>
      </c>
      <c r="GL14" s="118"/>
      <c r="GM14" s="118"/>
      <c r="GN14" s="118"/>
      <c r="GO14" s="118"/>
      <c r="GP14" s="118">
        <v>49774.2</v>
      </c>
      <c r="GQ14" s="118"/>
      <c r="GR14" s="118"/>
      <c r="GS14" s="118"/>
      <c r="GT14" s="118"/>
      <c r="GU14" s="118"/>
      <c r="GV14" s="118"/>
      <c r="GW14" s="118"/>
      <c r="GX14" s="118"/>
      <c r="GY14" s="118"/>
      <c r="GZ14" s="118">
        <v>3034.8</v>
      </c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>
        <v>11855.4</v>
      </c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>
        <v>43370.8</v>
      </c>
      <c r="HW14" s="118"/>
      <c r="HX14" s="118">
        <v>7039.1</v>
      </c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>
        <v>8521.7000000000007</v>
      </c>
      <c r="IN14" s="118"/>
      <c r="IO14" s="118"/>
      <c r="IP14" s="118">
        <v>40304.9</v>
      </c>
      <c r="IQ14" s="118"/>
      <c r="IR14" s="118">
        <v>110355.8</v>
      </c>
      <c r="IS14" s="118">
        <v>29214.7</v>
      </c>
      <c r="IT14" s="118"/>
      <c r="IU14" s="118"/>
      <c r="IV14" s="118"/>
      <c r="IW14" s="118">
        <v>35707.599999999999</v>
      </c>
      <c r="IX14" s="118">
        <v>9163.6</v>
      </c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>
        <v>20446</v>
      </c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>
        <v>132455.4</v>
      </c>
      <c r="JV14" s="118"/>
      <c r="JW14" s="118">
        <v>1691044.4</v>
      </c>
      <c r="JX14" s="118"/>
      <c r="JY14" s="118"/>
      <c r="JZ14" s="118"/>
      <c r="KA14" s="118"/>
      <c r="KB14" s="118"/>
      <c r="KC14" s="118"/>
      <c r="KD14" s="118"/>
      <c r="KE14" s="118"/>
      <c r="KF14" s="118"/>
      <c r="KG14" s="118">
        <v>152700.9</v>
      </c>
      <c r="KH14" s="118"/>
      <c r="KI14" s="118">
        <v>37794.400000000001</v>
      </c>
      <c r="KJ14" s="118"/>
      <c r="KK14" s="118"/>
      <c r="KL14" s="118"/>
      <c r="KM14" s="118">
        <v>20172.900000000001</v>
      </c>
      <c r="KN14" s="118"/>
      <c r="KO14" s="118"/>
      <c r="KP14" s="118"/>
      <c r="KQ14" s="118">
        <v>8070.2</v>
      </c>
      <c r="KR14" s="118"/>
      <c r="KS14" s="118"/>
      <c r="KT14" s="118">
        <v>2304.1</v>
      </c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>
        <v>23917.9</v>
      </c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>
        <v>61227.4</v>
      </c>
      <c r="MW14" s="118"/>
      <c r="MX14" s="114"/>
    </row>
    <row r="15" spans="1:362" ht="10.5" customHeight="1" thickBot="1" x14ac:dyDescent="0.25">
      <c r="A15" s="161" t="s">
        <v>519</v>
      </c>
      <c r="B15" s="160"/>
      <c r="C15" s="160">
        <f>SUM(D16:MW16)</f>
        <v>2303393.9000000004</v>
      </c>
      <c r="D15" s="118">
        <v>0</v>
      </c>
      <c r="E15" s="118"/>
      <c r="F15" s="118"/>
      <c r="G15" s="118">
        <v>0</v>
      </c>
      <c r="H15" s="118">
        <v>0</v>
      </c>
      <c r="I15" s="118"/>
      <c r="J15" s="118"/>
      <c r="K15" s="118"/>
      <c r="L15" s="118">
        <v>300</v>
      </c>
      <c r="M15" s="118">
        <v>600</v>
      </c>
      <c r="N15" s="118"/>
      <c r="O15" s="126">
        <v>1808157.8</v>
      </c>
      <c r="P15" s="118"/>
      <c r="Q15" s="118">
        <v>0</v>
      </c>
      <c r="R15" s="118">
        <v>2302.1999999999998</v>
      </c>
      <c r="S15" s="118"/>
      <c r="T15" s="118"/>
      <c r="U15" s="118"/>
      <c r="V15" s="118">
        <f>8612.1+77979.1</f>
        <v>86591.200000000012</v>
      </c>
      <c r="W15" s="118"/>
      <c r="X15" s="118">
        <v>692</v>
      </c>
      <c r="Y15" s="118"/>
      <c r="Z15" s="118"/>
      <c r="AA15" s="118"/>
      <c r="AB15" s="118"/>
      <c r="AC15" s="118"/>
      <c r="AD15" s="118"/>
      <c r="AE15" s="118"/>
      <c r="AF15" s="118"/>
      <c r="AG15" s="118">
        <v>46825.9</v>
      </c>
      <c r="AH15" s="118"/>
      <c r="AI15" s="118"/>
      <c r="AJ15" s="118"/>
      <c r="AK15" s="118"/>
      <c r="AL15" s="118"/>
      <c r="AM15" s="118">
        <v>230.1</v>
      </c>
      <c r="AN15" s="118"/>
      <c r="AO15" s="118">
        <v>669</v>
      </c>
      <c r="AP15" s="118">
        <v>595.20000000000005</v>
      </c>
      <c r="AQ15" s="118"/>
      <c r="AR15" s="118">
        <f>4567.4+2368.5</f>
        <v>6935.9</v>
      </c>
      <c r="AS15" s="118"/>
      <c r="AT15" s="118"/>
      <c r="AU15" s="118"/>
      <c r="AV15" s="118"/>
      <c r="AW15" s="118">
        <v>4249.3</v>
      </c>
      <c r="AX15" s="118">
        <v>7937</v>
      </c>
      <c r="AY15" s="118"/>
      <c r="AZ15" s="118"/>
      <c r="BA15" s="118"/>
      <c r="BB15" s="118"/>
      <c r="BC15" s="118">
        <v>379.7</v>
      </c>
      <c r="BD15" s="118">
        <v>144</v>
      </c>
      <c r="BE15" s="118"/>
      <c r="BF15" s="118"/>
      <c r="BG15" s="118">
        <f>316.2+145.8+1176.7</f>
        <v>1638.7</v>
      </c>
      <c r="BH15" s="118"/>
      <c r="BI15" s="118"/>
      <c r="BJ15" s="118">
        <v>697.3</v>
      </c>
      <c r="BK15" s="118">
        <v>271.3</v>
      </c>
      <c r="BL15" s="118"/>
      <c r="BM15" s="118"/>
      <c r="BN15" s="118"/>
      <c r="BO15" s="118"/>
      <c r="BP15" s="118">
        <v>240</v>
      </c>
      <c r="BQ15" s="118"/>
      <c r="BR15" s="118"/>
      <c r="BS15" s="118"/>
      <c r="BT15" s="118"/>
      <c r="BU15" s="118"/>
      <c r="BV15" s="118"/>
      <c r="BW15" s="118"/>
      <c r="BX15" s="118"/>
      <c r="BY15" s="118"/>
      <c r="BZ15" s="118">
        <v>1499.9</v>
      </c>
      <c r="CA15" s="118"/>
      <c r="CB15" s="118"/>
      <c r="CC15" s="118">
        <v>1214.7</v>
      </c>
      <c r="CD15" s="118">
        <v>180</v>
      </c>
      <c r="CE15" s="118"/>
      <c r="CF15" s="118"/>
      <c r="CG15" s="118">
        <v>3820.9</v>
      </c>
      <c r="CH15" s="118">
        <v>797</v>
      </c>
      <c r="CI15" s="118"/>
      <c r="CJ15" s="118"/>
      <c r="CK15" s="118"/>
      <c r="CL15" s="118">
        <v>218</v>
      </c>
      <c r="CM15" s="118">
        <f>5446.6+6734.4+5012.1+8584.5</f>
        <v>25777.599999999999</v>
      </c>
      <c r="CN15" s="118">
        <v>500</v>
      </c>
      <c r="CO15" s="118">
        <v>2250</v>
      </c>
      <c r="CP15" s="118">
        <v>606</v>
      </c>
      <c r="CQ15" s="118"/>
      <c r="CR15" s="118"/>
      <c r="CS15" s="118"/>
      <c r="CT15" s="118"/>
      <c r="CU15" s="118">
        <v>179</v>
      </c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>
        <v>619.6</v>
      </c>
      <c r="DH15" s="118">
        <v>1413.5</v>
      </c>
      <c r="DI15" s="118">
        <v>54</v>
      </c>
      <c r="DJ15" s="118"/>
      <c r="DK15" s="118"/>
      <c r="DL15" s="118"/>
      <c r="DM15" s="118">
        <v>4.5</v>
      </c>
      <c r="DN15" s="118">
        <v>49.1</v>
      </c>
      <c r="DO15" s="118"/>
      <c r="DP15" s="118">
        <v>270</v>
      </c>
      <c r="DQ15" s="118"/>
      <c r="DR15" s="118">
        <v>462.5</v>
      </c>
      <c r="DS15" s="118">
        <v>360</v>
      </c>
      <c r="DT15" s="118">
        <v>3480</v>
      </c>
      <c r="DU15" s="118"/>
      <c r="DV15" s="118"/>
      <c r="DW15" s="118">
        <v>372.7</v>
      </c>
      <c r="DX15" s="118"/>
      <c r="DY15" s="118"/>
      <c r="DZ15" s="118"/>
      <c r="EA15" s="118">
        <v>1000</v>
      </c>
      <c r="EB15" s="118"/>
      <c r="EC15" s="118"/>
      <c r="ED15" s="118">
        <v>120</v>
      </c>
      <c r="EE15" s="118"/>
      <c r="EF15" s="118">
        <v>680.5</v>
      </c>
      <c r="EG15" s="118"/>
      <c r="EH15" s="118">
        <v>420</v>
      </c>
      <c r="EI15" s="118">
        <v>1752</v>
      </c>
      <c r="EJ15" s="118"/>
      <c r="EK15" s="118"/>
      <c r="EL15" s="118">
        <v>1756.8</v>
      </c>
      <c r="EM15" s="118"/>
      <c r="EN15" s="118">
        <v>185010.3</v>
      </c>
      <c r="EO15" s="118">
        <v>180</v>
      </c>
      <c r="EP15" s="118">
        <v>34993.5</v>
      </c>
      <c r="EQ15" s="118">
        <v>76.900000000000006</v>
      </c>
      <c r="ER15" s="118"/>
      <c r="ES15" s="118"/>
      <c r="ET15" s="118">
        <v>148.1</v>
      </c>
      <c r="EU15" s="118"/>
      <c r="EV15" s="118"/>
      <c r="EW15" s="118">
        <v>8971.1</v>
      </c>
      <c r="EX15" s="118"/>
      <c r="EY15" s="118"/>
      <c r="EZ15" s="118"/>
      <c r="FA15" s="118">
        <v>10528.5</v>
      </c>
      <c r="FB15" s="118"/>
      <c r="FC15" s="118">
        <v>450</v>
      </c>
      <c r="FD15" s="118">
        <v>98.8</v>
      </c>
      <c r="FE15" s="118"/>
      <c r="FF15" s="118"/>
      <c r="FG15" s="118"/>
      <c r="FH15" s="118"/>
      <c r="FI15" s="118"/>
      <c r="FJ15" s="118">
        <v>21.1</v>
      </c>
      <c r="FK15" s="118"/>
      <c r="FL15" s="118">
        <v>10414.4</v>
      </c>
      <c r="FM15" s="118">
        <f>6508.6+87731.2</f>
        <v>94239.8</v>
      </c>
      <c r="FN15" s="118">
        <v>12</v>
      </c>
      <c r="FO15" s="118">
        <v>200</v>
      </c>
      <c r="FP15" s="118"/>
      <c r="FQ15" s="118">
        <v>5170.3</v>
      </c>
      <c r="FR15" s="118">
        <v>2192.1999999999998</v>
      </c>
      <c r="FS15" s="118">
        <v>24277.4</v>
      </c>
      <c r="FT15" s="118">
        <v>32021.3</v>
      </c>
      <c r="FU15" s="118">
        <v>6629.3</v>
      </c>
      <c r="FV15" s="118">
        <v>2482.6999999999998</v>
      </c>
      <c r="FW15" s="118">
        <v>3415.9</v>
      </c>
      <c r="FX15" s="118">
        <v>30000</v>
      </c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>
        <v>5778.4</v>
      </c>
      <c r="GO15" s="118"/>
      <c r="GP15" s="118"/>
      <c r="GQ15" s="118">
        <v>840</v>
      </c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>
        <v>1510.5</v>
      </c>
      <c r="HC15" s="118">
        <v>180</v>
      </c>
      <c r="HD15" s="118"/>
      <c r="HE15" s="118"/>
      <c r="HF15" s="118"/>
      <c r="HG15" s="118"/>
      <c r="HH15" s="118"/>
      <c r="HI15" s="118">
        <v>215.4</v>
      </c>
      <c r="HJ15" s="118"/>
      <c r="HK15" s="118"/>
      <c r="HL15" s="118">
        <v>3014.3</v>
      </c>
      <c r="HM15" s="118"/>
      <c r="HN15" s="118">
        <f>789.9+2546.9</f>
        <v>3336.8</v>
      </c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>
        <f>9643.6+1351.6+2214.3</f>
        <v>13209.5</v>
      </c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>
        <v>70</v>
      </c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>
        <v>238.1</v>
      </c>
      <c r="JK15" s="118"/>
      <c r="JL15" s="118">
        <v>349</v>
      </c>
      <c r="JM15" s="118">
        <v>60</v>
      </c>
      <c r="JN15" s="118"/>
      <c r="JO15" s="118"/>
      <c r="JP15" s="118"/>
      <c r="JQ15" s="118"/>
      <c r="JR15" s="118"/>
      <c r="JS15" s="118"/>
      <c r="JT15" s="118"/>
      <c r="JU15" s="118"/>
      <c r="JV15" s="118"/>
      <c r="JW15" s="118">
        <v>37044</v>
      </c>
      <c r="JX15" s="118"/>
      <c r="JY15" s="118"/>
      <c r="JZ15" s="118">
        <v>229.8</v>
      </c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>
        <v>2000</v>
      </c>
      <c r="LE15" s="118">
        <v>235.2</v>
      </c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>
        <v>60</v>
      </c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>
        <v>60</v>
      </c>
      <c r="MG15" s="118"/>
      <c r="MH15" s="118"/>
      <c r="MI15" s="118">
        <v>4696</v>
      </c>
      <c r="MJ15" s="118"/>
      <c r="MK15" s="118">
        <v>6180.1</v>
      </c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4"/>
    </row>
    <row r="16" spans="1:362" s="8" customFormat="1" ht="11.25" customHeight="1" thickBot="1" x14ac:dyDescent="0.3">
      <c r="A16" s="161" t="s">
        <v>520</v>
      </c>
      <c r="B16" s="160"/>
      <c r="C16" s="160">
        <f>SUM(D17:MW17)</f>
        <v>127846.6</v>
      </c>
      <c r="D16" s="127">
        <v>0</v>
      </c>
      <c r="E16" s="127"/>
      <c r="F16" s="127"/>
      <c r="G16" s="127">
        <v>0</v>
      </c>
      <c r="H16" s="127">
        <v>0</v>
      </c>
      <c r="I16" s="127"/>
      <c r="J16" s="127"/>
      <c r="K16" s="127"/>
      <c r="L16" s="127"/>
      <c r="M16" s="127"/>
      <c r="N16" s="127"/>
      <c r="O16" s="129">
        <v>1009080.7</v>
      </c>
      <c r="P16" s="127"/>
      <c r="Q16" s="127">
        <v>0</v>
      </c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>
        <v>6449.4</v>
      </c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>
        <v>77432</v>
      </c>
      <c r="CK16" s="127"/>
      <c r="CL16" s="127"/>
      <c r="CM16" s="127">
        <v>2887.5</v>
      </c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>
        <v>1146826.3999999999</v>
      </c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>
        <v>52830.2</v>
      </c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  <c r="IW16" s="127"/>
      <c r="IX16" s="127"/>
      <c r="IY16" s="127"/>
      <c r="IZ16" s="127"/>
      <c r="JA16" s="127"/>
      <c r="JB16" s="127"/>
      <c r="JC16" s="127"/>
      <c r="JD16" s="127"/>
      <c r="JE16" s="127"/>
      <c r="JF16" s="127"/>
      <c r="JG16" s="127"/>
      <c r="JH16" s="127"/>
      <c r="JI16" s="127"/>
      <c r="JJ16" s="127"/>
      <c r="JK16" s="127"/>
      <c r="JL16" s="127"/>
      <c r="JM16" s="127"/>
      <c r="JN16" s="127"/>
      <c r="JO16" s="127"/>
      <c r="JP16" s="127"/>
      <c r="JQ16" s="127"/>
      <c r="JR16" s="127"/>
      <c r="JS16" s="127"/>
      <c r="JT16" s="127"/>
      <c r="JU16" s="127"/>
      <c r="JV16" s="127"/>
      <c r="JW16" s="127"/>
      <c r="JX16" s="127"/>
      <c r="JY16" s="127"/>
      <c r="JZ16" s="127"/>
      <c r="KA16" s="127"/>
      <c r="KB16" s="127"/>
      <c r="KC16" s="127"/>
      <c r="KD16" s="127"/>
      <c r="KE16" s="127"/>
      <c r="KF16" s="127"/>
      <c r="KG16" s="127"/>
      <c r="KH16" s="127"/>
      <c r="KI16" s="127"/>
      <c r="KJ16" s="127"/>
      <c r="KK16" s="127"/>
      <c r="KL16" s="127"/>
      <c r="KM16" s="127"/>
      <c r="KN16" s="127"/>
      <c r="KO16" s="127"/>
      <c r="KP16" s="127"/>
      <c r="KQ16" s="127"/>
      <c r="KR16" s="127"/>
      <c r="KS16" s="127"/>
      <c r="KT16" s="127"/>
      <c r="KU16" s="127"/>
      <c r="KV16" s="127"/>
      <c r="KW16" s="127"/>
      <c r="KX16" s="127"/>
      <c r="KY16" s="127"/>
      <c r="KZ16" s="127"/>
      <c r="LA16" s="127"/>
      <c r="LB16" s="127"/>
      <c r="LC16" s="127"/>
      <c r="LD16" s="127"/>
      <c r="LE16" s="127"/>
      <c r="LF16" s="127"/>
      <c r="LG16" s="127"/>
      <c r="LH16" s="127"/>
      <c r="LI16" s="127"/>
      <c r="LJ16" s="127"/>
      <c r="LK16" s="127"/>
      <c r="LL16" s="127"/>
      <c r="LM16" s="127"/>
      <c r="LN16" s="127"/>
      <c r="LO16" s="127"/>
      <c r="LP16" s="127"/>
      <c r="LQ16" s="127"/>
      <c r="LR16" s="127"/>
      <c r="LS16" s="127"/>
      <c r="LT16" s="127"/>
      <c r="LU16" s="127"/>
      <c r="LV16" s="127"/>
      <c r="LW16" s="127"/>
      <c r="LX16" s="127"/>
      <c r="LY16" s="127"/>
      <c r="LZ16" s="127"/>
      <c r="MA16" s="127"/>
      <c r="MB16" s="127"/>
      <c r="MC16" s="127"/>
      <c r="MD16" s="127"/>
      <c r="ME16" s="127"/>
      <c r="MF16" s="127"/>
      <c r="MG16" s="127"/>
      <c r="MH16" s="127"/>
      <c r="MI16" s="127"/>
      <c r="MJ16" s="127"/>
      <c r="MK16" s="127"/>
      <c r="ML16" s="127"/>
      <c r="MM16" s="127">
        <v>7887.7</v>
      </c>
      <c r="MN16" s="127"/>
      <c r="MO16" s="127"/>
      <c r="MP16" s="127"/>
      <c r="MQ16" s="127"/>
      <c r="MR16" s="127"/>
      <c r="MS16" s="127"/>
      <c r="MT16" s="127"/>
      <c r="MU16" s="127"/>
      <c r="MV16" s="127"/>
      <c r="MW16" s="127"/>
      <c r="MX16" s="128"/>
    </row>
    <row r="17" spans="1:362" s="8" customFormat="1" ht="9.75" customHeight="1" thickBot="1" x14ac:dyDescent="0.3">
      <c r="A17" s="158" t="s">
        <v>521</v>
      </c>
      <c r="B17" s="159"/>
      <c r="C17" s="160">
        <f>SUM(D18:MW18)</f>
        <v>241209.20000000013</v>
      </c>
      <c r="D17" s="127">
        <v>0</v>
      </c>
      <c r="E17" s="127"/>
      <c r="F17" s="127"/>
      <c r="G17" s="127">
        <v>0</v>
      </c>
      <c r="H17" s="127">
        <v>0</v>
      </c>
      <c r="I17" s="127"/>
      <c r="J17" s="127"/>
      <c r="K17" s="127"/>
      <c r="L17" s="127"/>
      <c r="M17" s="127"/>
      <c r="N17" s="127"/>
      <c r="O17" s="129">
        <v>47578.400000000001</v>
      </c>
      <c r="P17" s="127"/>
      <c r="Q17" s="127">
        <v>0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>
        <v>4510.5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>
        <v>74378.3</v>
      </c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>
        <v>1379.4</v>
      </c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  <c r="IW17" s="127"/>
      <c r="IX17" s="127"/>
      <c r="IY17" s="127"/>
      <c r="IZ17" s="127"/>
      <c r="JA17" s="127"/>
      <c r="JB17" s="127"/>
      <c r="JC17" s="127"/>
      <c r="JD17" s="127"/>
      <c r="JE17" s="127"/>
      <c r="JF17" s="127"/>
      <c r="JG17" s="127"/>
      <c r="JH17" s="127"/>
      <c r="JI17" s="127"/>
      <c r="JJ17" s="127"/>
      <c r="JK17" s="127"/>
      <c r="JL17" s="127"/>
      <c r="JM17" s="127"/>
      <c r="JN17" s="127"/>
      <c r="JO17" s="127"/>
      <c r="JP17" s="127"/>
      <c r="JQ17" s="127"/>
      <c r="JR17" s="127"/>
      <c r="JS17" s="127"/>
      <c r="JT17" s="127"/>
      <c r="JU17" s="127"/>
      <c r="JV17" s="127"/>
      <c r="JW17" s="127"/>
      <c r="JX17" s="127"/>
      <c r="JY17" s="127"/>
      <c r="JZ17" s="127"/>
      <c r="KA17" s="127"/>
      <c r="KB17" s="127"/>
      <c r="KC17" s="127"/>
      <c r="KD17" s="127"/>
      <c r="KE17" s="127"/>
      <c r="KF17" s="127"/>
      <c r="KG17" s="127"/>
      <c r="KH17" s="127"/>
      <c r="KI17" s="127"/>
      <c r="KJ17" s="127"/>
      <c r="KK17" s="127"/>
      <c r="KL17" s="127"/>
      <c r="KM17" s="127"/>
      <c r="KN17" s="127"/>
      <c r="KO17" s="127"/>
      <c r="KP17" s="127"/>
      <c r="KQ17" s="127"/>
      <c r="KR17" s="127"/>
      <c r="KS17" s="127"/>
      <c r="KT17" s="127"/>
      <c r="KU17" s="127"/>
      <c r="KV17" s="127"/>
      <c r="KW17" s="127"/>
      <c r="KX17" s="127"/>
      <c r="KY17" s="127"/>
      <c r="KZ17" s="127"/>
      <c r="LA17" s="127"/>
      <c r="LB17" s="127"/>
      <c r="LC17" s="127"/>
      <c r="LD17" s="127"/>
      <c r="LE17" s="127"/>
      <c r="LF17" s="127"/>
      <c r="LG17" s="127"/>
      <c r="LH17" s="127"/>
      <c r="LI17" s="127"/>
      <c r="LJ17" s="127"/>
      <c r="LK17" s="127"/>
      <c r="LL17" s="127"/>
      <c r="LM17" s="127"/>
      <c r="LN17" s="127"/>
      <c r="LO17" s="127"/>
      <c r="LP17" s="127"/>
      <c r="LQ17" s="127"/>
      <c r="LR17" s="127"/>
      <c r="LS17" s="127"/>
      <c r="LT17" s="127"/>
      <c r="LU17" s="127"/>
      <c r="LV17" s="127"/>
      <c r="LW17" s="127"/>
      <c r="LX17" s="127"/>
      <c r="LY17" s="127"/>
      <c r="LZ17" s="127"/>
      <c r="MA17" s="127"/>
      <c r="MB17" s="127"/>
      <c r="MC17" s="127"/>
      <c r="MD17" s="127"/>
      <c r="ME17" s="127"/>
      <c r="MF17" s="127"/>
      <c r="MG17" s="127"/>
      <c r="MH17" s="127"/>
      <c r="MI17" s="127"/>
      <c r="MJ17" s="127"/>
      <c r="MK17" s="127"/>
      <c r="ML17" s="127"/>
      <c r="MM17" s="127"/>
      <c r="MN17" s="127"/>
      <c r="MO17" s="127"/>
      <c r="MP17" s="127"/>
      <c r="MQ17" s="127"/>
      <c r="MR17" s="127"/>
      <c r="MS17" s="127"/>
      <c r="MT17" s="127"/>
      <c r="MU17" s="127"/>
      <c r="MV17" s="127"/>
      <c r="MW17" s="127"/>
      <c r="MX17" s="128"/>
    </row>
    <row r="18" spans="1:362" ht="9.75" customHeight="1" thickBot="1" x14ac:dyDescent="0.25">
      <c r="A18" s="158" t="s">
        <v>522</v>
      </c>
      <c r="B18" s="160"/>
      <c r="C18" s="160">
        <f>SUM(D19:MW19)</f>
        <v>0</v>
      </c>
      <c r="D18" s="118">
        <v>0</v>
      </c>
      <c r="E18" s="118"/>
      <c r="F18" s="118">
        <v>75.400000000000006</v>
      </c>
      <c r="G18" s="118">
        <v>0</v>
      </c>
      <c r="H18" s="118">
        <v>0</v>
      </c>
      <c r="I18" s="118">
        <v>100</v>
      </c>
      <c r="J18" s="118">
        <v>4706.1000000000004</v>
      </c>
      <c r="K18" s="118"/>
      <c r="L18" s="118">
        <f>33.1+506.5</f>
        <v>539.6</v>
      </c>
      <c r="M18" s="118"/>
      <c r="N18" s="118">
        <v>394</v>
      </c>
      <c r="O18" s="126">
        <f>423.8+25469.6</f>
        <v>25893.399999999998</v>
      </c>
      <c r="P18" s="118">
        <v>53.8</v>
      </c>
      <c r="Q18" s="118">
        <v>0</v>
      </c>
      <c r="R18" s="118">
        <v>124</v>
      </c>
      <c r="S18" s="118">
        <v>235</v>
      </c>
      <c r="T18" s="118">
        <v>189.5</v>
      </c>
      <c r="U18" s="118">
        <v>45</v>
      </c>
      <c r="V18" s="118">
        <f>2469.1+9011.6</f>
        <v>11480.7</v>
      </c>
      <c r="W18" s="118"/>
      <c r="X18" s="118"/>
      <c r="Y18" s="118">
        <f>16139.5+41.4</f>
        <v>16180.9</v>
      </c>
      <c r="Z18" s="118"/>
      <c r="AA18" s="118">
        <v>98.3</v>
      </c>
      <c r="AB18" s="118">
        <f>60.3+2587</f>
        <v>2647.3</v>
      </c>
      <c r="AC18" s="118"/>
      <c r="AD18" s="118"/>
      <c r="AE18" s="118">
        <f>580.3+597.3</f>
        <v>1177.5999999999999</v>
      </c>
      <c r="AF18" s="118"/>
      <c r="AG18" s="118">
        <v>5184.8999999999996</v>
      </c>
      <c r="AH18" s="118"/>
      <c r="AI18" s="118"/>
      <c r="AJ18" s="118"/>
      <c r="AK18" s="118">
        <v>160</v>
      </c>
      <c r="AL18" s="118">
        <v>44.5</v>
      </c>
      <c r="AM18" s="118"/>
      <c r="AN18" s="118">
        <v>488.5</v>
      </c>
      <c r="AO18" s="118"/>
      <c r="AP18" s="118">
        <v>360</v>
      </c>
      <c r="AQ18" s="118">
        <v>149.80000000000001</v>
      </c>
      <c r="AR18" s="118">
        <f>14749.1+798.3</f>
        <v>15547.4</v>
      </c>
      <c r="AS18" s="118">
        <f>286.2+3865.1</f>
        <v>4151.3</v>
      </c>
      <c r="AT18" s="118">
        <f>28.8+372.7</f>
        <v>401.5</v>
      </c>
      <c r="AU18" s="118"/>
      <c r="AV18" s="118">
        <v>534.20000000000005</v>
      </c>
      <c r="AW18" s="118">
        <v>1103.2</v>
      </c>
      <c r="AX18" s="118">
        <v>7447.4</v>
      </c>
      <c r="AY18" s="118">
        <v>193.2</v>
      </c>
      <c r="AZ18" s="118">
        <v>318.2</v>
      </c>
      <c r="BA18" s="118"/>
      <c r="BB18" s="118">
        <v>479.4</v>
      </c>
      <c r="BC18" s="118">
        <f>986.3+28</f>
        <v>1014.3</v>
      </c>
      <c r="BD18" s="118"/>
      <c r="BE18" s="118"/>
      <c r="BF18" s="118">
        <v>102.8</v>
      </c>
      <c r="BG18" s="118">
        <v>1954.1</v>
      </c>
      <c r="BH18" s="118"/>
      <c r="BI18" s="118">
        <v>45</v>
      </c>
      <c r="BJ18" s="118">
        <v>126.4</v>
      </c>
      <c r="BK18" s="118">
        <v>173.8</v>
      </c>
      <c r="BL18" s="118">
        <v>2980</v>
      </c>
      <c r="BM18" s="118">
        <v>743.5</v>
      </c>
      <c r="BN18" s="118"/>
      <c r="BO18" s="118">
        <v>121.5</v>
      </c>
      <c r="BP18" s="118">
        <v>378.6</v>
      </c>
      <c r="BQ18" s="118">
        <v>135.9</v>
      </c>
      <c r="BR18" s="118"/>
      <c r="BS18" s="118">
        <v>1689</v>
      </c>
      <c r="BT18" s="118"/>
      <c r="BU18" s="118"/>
      <c r="BV18" s="118">
        <v>72</v>
      </c>
      <c r="BW18" s="118">
        <v>55</v>
      </c>
      <c r="BX18" s="118">
        <v>215.6</v>
      </c>
      <c r="BY18" s="118"/>
      <c r="BZ18" s="118">
        <v>1392.9</v>
      </c>
      <c r="CA18" s="118">
        <v>221.8</v>
      </c>
      <c r="CB18" s="118"/>
      <c r="CC18" s="118">
        <v>574.70000000000005</v>
      </c>
      <c r="CD18" s="118"/>
      <c r="CE18" s="118"/>
      <c r="CF18" s="118">
        <v>1162.4000000000001</v>
      </c>
      <c r="CG18" s="118">
        <v>457.9</v>
      </c>
      <c r="CH18" s="118">
        <v>336.5</v>
      </c>
      <c r="CI18" s="118">
        <v>5990</v>
      </c>
      <c r="CJ18" s="118">
        <f>625.3+825.9</f>
        <v>1451.1999999999998</v>
      </c>
      <c r="CK18" s="118"/>
      <c r="CL18" s="118">
        <v>860.9</v>
      </c>
      <c r="CM18" s="118">
        <f>8574.4+1390</f>
        <v>9964.4</v>
      </c>
      <c r="CN18" s="118">
        <v>35</v>
      </c>
      <c r="CO18" s="118">
        <v>4886.5</v>
      </c>
      <c r="CP18" s="118">
        <f>99+2290.8</f>
        <v>2389.8000000000002</v>
      </c>
      <c r="CQ18" s="118">
        <v>99</v>
      </c>
      <c r="CR18" s="118">
        <v>74.099999999999994</v>
      </c>
      <c r="CS18" s="118"/>
      <c r="CT18" s="118"/>
      <c r="CU18" s="118">
        <v>36.700000000000003</v>
      </c>
      <c r="CV18" s="118">
        <v>160</v>
      </c>
      <c r="CW18" s="118">
        <f>70+387</f>
        <v>457</v>
      </c>
      <c r="CX18" s="118">
        <v>50.9</v>
      </c>
      <c r="CY18" s="118">
        <v>876.2</v>
      </c>
      <c r="CZ18" s="118"/>
      <c r="DA18" s="118">
        <v>218</v>
      </c>
      <c r="DB18" s="118"/>
      <c r="DC18" s="118"/>
      <c r="DD18" s="118"/>
      <c r="DE18" s="118"/>
      <c r="DF18" s="118"/>
      <c r="DG18" s="118">
        <v>44.7</v>
      </c>
      <c r="DH18" s="118">
        <v>95.2</v>
      </c>
      <c r="DI18" s="118">
        <v>561.29999999999995</v>
      </c>
      <c r="DJ18" s="118">
        <v>50</v>
      </c>
      <c r="DK18" s="118">
        <v>470.6</v>
      </c>
      <c r="DL18" s="118">
        <v>279.7</v>
      </c>
      <c r="DM18" s="118"/>
      <c r="DN18" s="118">
        <v>1.8</v>
      </c>
      <c r="DO18" s="118"/>
      <c r="DP18" s="118"/>
      <c r="DQ18" s="118">
        <v>2229.1999999999998</v>
      </c>
      <c r="DR18" s="118">
        <v>258.2</v>
      </c>
      <c r="DS18" s="118">
        <v>175.5</v>
      </c>
      <c r="DT18" s="118">
        <v>456.5</v>
      </c>
      <c r="DU18" s="118">
        <v>119</v>
      </c>
      <c r="DV18" s="118"/>
      <c r="DW18" s="118">
        <v>350</v>
      </c>
      <c r="DX18" s="118"/>
      <c r="DY18" s="118">
        <v>114</v>
      </c>
      <c r="DZ18" s="118">
        <f>123+567.2</f>
        <v>690.2</v>
      </c>
      <c r="EA18" s="118">
        <v>119.2</v>
      </c>
      <c r="EB18" s="118">
        <v>331.1</v>
      </c>
      <c r="EC18" s="118"/>
      <c r="ED18" s="118">
        <v>110</v>
      </c>
      <c r="EE18" s="118"/>
      <c r="EF18" s="118">
        <v>1597.5</v>
      </c>
      <c r="EG18" s="118"/>
      <c r="EH18" s="118">
        <v>110</v>
      </c>
      <c r="EI18" s="118">
        <v>127.4</v>
      </c>
      <c r="EJ18" s="118"/>
      <c r="EK18" s="118">
        <v>1345</v>
      </c>
      <c r="EL18" s="118">
        <v>763.5</v>
      </c>
      <c r="EM18" s="118"/>
      <c r="EN18" s="118">
        <v>1453.7</v>
      </c>
      <c r="EO18" s="118">
        <v>126</v>
      </c>
      <c r="EP18" s="118">
        <v>1006.3</v>
      </c>
      <c r="EQ18" s="118">
        <v>192</v>
      </c>
      <c r="ER18" s="118">
        <v>370.8</v>
      </c>
      <c r="ES18" s="118">
        <v>324.60000000000002</v>
      </c>
      <c r="ET18" s="118">
        <v>372.7</v>
      </c>
      <c r="EU18" s="118">
        <f>768.5+100</f>
        <v>868.5</v>
      </c>
      <c r="EV18" s="118">
        <v>35</v>
      </c>
      <c r="EW18" s="118">
        <v>331</v>
      </c>
      <c r="EX18" s="118">
        <v>215.6</v>
      </c>
      <c r="EY18" s="118"/>
      <c r="EZ18" s="118">
        <v>204</v>
      </c>
      <c r="FA18" s="118">
        <f>42.3+1996.1+124.7</f>
        <v>2163.1</v>
      </c>
      <c r="FB18" s="118"/>
      <c r="FC18" s="118">
        <v>39.1</v>
      </c>
      <c r="FD18" s="118">
        <v>378.5</v>
      </c>
      <c r="FE18" s="118"/>
      <c r="FF18" s="118"/>
      <c r="FG18" s="118">
        <v>979.8</v>
      </c>
      <c r="FH18" s="118">
        <v>99</v>
      </c>
      <c r="FI18" s="118">
        <v>400</v>
      </c>
      <c r="FJ18" s="118">
        <v>46</v>
      </c>
      <c r="FK18" s="118">
        <v>7589.1</v>
      </c>
      <c r="FL18" s="118">
        <v>224</v>
      </c>
      <c r="FM18" s="118">
        <v>5625.1</v>
      </c>
      <c r="FN18" s="118">
        <v>55</v>
      </c>
      <c r="FO18" s="118">
        <v>24</v>
      </c>
      <c r="FP18" s="118">
        <f>99+245.2</f>
        <v>344.2</v>
      </c>
      <c r="FQ18" s="118">
        <f>2853.3+11.8</f>
        <v>2865.1000000000004</v>
      </c>
      <c r="FR18" s="118">
        <v>3161.6</v>
      </c>
      <c r="FS18" s="118">
        <v>389.4</v>
      </c>
      <c r="FT18" s="118">
        <f>311+6401.5</f>
        <v>6712.5</v>
      </c>
      <c r="FU18" s="118">
        <v>481</v>
      </c>
      <c r="FV18" s="118">
        <v>2757.4</v>
      </c>
      <c r="FW18" s="118">
        <v>496.5</v>
      </c>
      <c r="FX18" s="118">
        <v>983.2</v>
      </c>
      <c r="FY18" s="118">
        <v>298.39999999999998</v>
      </c>
      <c r="FZ18" s="118"/>
      <c r="GA18" s="118"/>
      <c r="GB18" s="118"/>
      <c r="GC18" s="118">
        <v>92.4</v>
      </c>
      <c r="GD18" s="118">
        <f>179+4468.1</f>
        <v>4647.1000000000004</v>
      </c>
      <c r="GE18" s="118"/>
      <c r="GF18" s="118"/>
      <c r="GG18" s="118"/>
      <c r="GH18" s="118"/>
      <c r="GI18" s="118">
        <v>13496.7</v>
      </c>
      <c r="GJ18" s="118"/>
      <c r="GK18" s="118">
        <v>340</v>
      </c>
      <c r="GL18" s="118"/>
      <c r="GM18" s="118">
        <v>128</v>
      </c>
      <c r="GN18" s="118">
        <v>461.7</v>
      </c>
      <c r="GO18" s="118"/>
      <c r="GP18" s="118">
        <v>719</v>
      </c>
      <c r="GQ18" s="118">
        <v>2945.8</v>
      </c>
      <c r="GR18" s="118">
        <v>135</v>
      </c>
      <c r="GS18" s="118">
        <v>93.6</v>
      </c>
      <c r="GT18" s="118"/>
      <c r="GU18" s="118"/>
      <c r="GV18" s="118">
        <v>112.7</v>
      </c>
      <c r="GW18" s="118"/>
      <c r="GX18" s="118">
        <v>107.5</v>
      </c>
      <c r="GY18" s="118"/>
      <c r="GZ18" s="118"/>
      <c r="HA18" s="118"/>
      <c r="HB18" s="118"/>
      <c r="HC18" s="118"/>
      <c r="HD18" s="118"/>
      <c r="HE18" s="118"/>
      <c r="HF18" s="118">
        <v>35</v>
      </c>
      <c r="HG18" s="118"/>
      <c r="HH18" s="118"/>
      <c r="HI18" s="118">
        <v>260.5</v>
      </c>
      <c r="HJ18" s="118"/>
      <c r="HK18" s="118"/>
      <c r="HL18" s="118">
        <v>72.8</v>
      </c>
      <c r="HM18" s="118"/>
      <c r="HN18" s="118">
        <v>911</v>
      </c>
      <c r="HO18" s="118"/>
      <c r="HP18" s="118">
        <v>402.3</v>
      </c>
      <c r="HQ18" s="118">
        <v>323</v>
      </c>
      <c r="HR18" s="118"/>
      <c r="HS18" s="118"/>
      <c r="HT18" s="118"/>
      <c r="HU18" s="118"/>
      <c r="HV18" s="118"/>
      <c r="HW18" s="118"/>
      <c r="HX18" s="118">
        <v>625.29999999999995</v>
      </c>
      <c r="HY18" s="118"/>
      <c r="HZ18" s="118">
        <v>208.7</v>
      </c>
      <c r="IA18" s="118">
        <v>120.4</v>
      </c>
      <c r="IB18" s="118"/>
      <c r="IC18" s="118"/>
      <c r="ID18" s="118">
        <v>91</v>
      </c>
      <c r="IE18" s="118">
        <f>99+238.1</f>
        <v>337.1</v>
      </c>
      <c r="IF18" s="118"/>
      <c r="IG18" s="118">
        <v>635</v>
      </c>
      <c r="IH18" s="118"/>
      <c r="II18" s="118"/>
      <c r="IJ18" s="118">
        <v>421.6</v>
      </c>
      <c r="IK18" s="118">
        <v>43.5</v>
      </c>
      <c r="IL18" s="118"/>
      <c r="IM18" s="118"/>
      <c r="IN18" s="118"/>
      <c r="IO18" s="118">
        <v>76.599999999999994</v>
      </c>
      <c r="IP18" s="118">
        <v>610</v>
      </c>
      <c r="IQ18" s="118"/>
      <c r="IR18" s="118">
        <v>631</v>
      </c>
      <c r="IS18" s="118">
        <v>1099.4000000000001</v>
      </c>
      <c r="IT18" s="118"/>
      <c r="IU18" s="118">
        <v>350.8</v>
      </c>
      <c r="IV18" s="118"/>
      <c r="IW18" s="118"/>
      <c r="IX18" s="118"/>
      <c r="IY18" s="118">
        <v>132</v>
      </c>
      <c r="IZ18" s="118"/>
      <c r="JA18" s="118">
        <v>199</v>
      </c>
      <c r="JB18" s="118">
        <v>155.1</v>
      </c>
      <c r="JC18" s="118"/>
      <c r="JD18" s="118"/>
      <c r="JE18" s="118"/>
      <c r="JF18" s="118">
        <v>190</v>
      </c>
      <c r="JG18" s="118"/>
      <c r="JH18" s="118">
        <v>280</v>
      </c>
      <c r="JI18" s="118"/>
      <c r="JJ18" s="118"/>
      <c r="JK18" s="118"/>
      <c r="JL18" s="118"/>
      <c r="JM18" s="118">
        <v>167.2</v>
      </c>
      <c r="JN18" s="118"/>
      <c r="JO18" s="118">
        <v>140.6</v>
      </c>
      <c r="JP18" s="118"/>
      <c r="JQ18" s="118"/>
      <c r="JR18" s="118"/>
      <c r="JS18" s="118"/>
      <c r="JT18" s="118"/>
      <c r="JU18" s="118">
        <v>187.2</v>
      </c>
      <c r="JV18" s="118"/>
      <c r="JW18" s="118"/>
      <c r="JX18" s="118"/>
      <c r="JY18" s="118"/>
      <c r="JZ18" s="118"/>
      <c r="KA18" s="118"/>
      <c r="KB18" s="118"/>
      <c r="KC18" s="118">
        <v>30</v>
      </c>
      <c r="KD18" s="118">
        <v>52.5</v>
      </c>
      <c r="KE18" s="118"/>
      <c r="KF18" s="118"/>
      <c r="KG18" s="118">
        <v>424</v>
      </c>
      <c r="KH18" s="118"/>
      <c r="KI18" s="118">
        <v>556</v>
      </c>
      <c r="KJ18" s="118">
        <v>100</v>
      </c>
      <c r="KK18" s="118">
        <v>170.8</v>
      </c>
      <c r="KL18" s="118"/>
      <c r="KM18" s="118">
        <v>515</v>
      </c>
      <c r="KN18" s="118"/>
      <c r="KO18" s="118">
        <f>205+829.5</f>
        <v>1034.5</v>
      </c>
      <c r="KP18" s="118">
        <v>177.5</v>
      </c>
      <c r="KQ18" s="118">
        <v>70</v>
      </c>
      <c r="KR18" s="118">
        <f>32+78.4</f>
        <v>110.4</v>
      </c>
      <c r="KS18" s="118"/>
      <c r="KT18" s="118"/>
      <c r="KU18" s="118"/>
      <c r="KV18" s="118"/>
      <c r="KW18" s="118">
        <v>1044.2</v>
      </c>
      <c r="KX18" s="118"/>
      <c r="KY18" s="118"/>
      <c r="KZ18" s="118"/>
      <c r="LA18" s="118"/>
      <c r="LB18" s="118"/>
      <c r="LC18" s="118"/>
      <c r="LD18" s="118"/>
      <c r="LE18" s="118"/>
      <c r="LF18" s="118">
        <f>232.1+2147.1</f>
        <v>2379.1999999999998</v>
      </c>
      <c r="LG18" s="118">
        <v>657.3</v>
      </c>
      <c r="LH18" s="118"/>
      <c r="LI18" s="118">
        <v>196</v>
      </c>
      <c r="LJ18" s="118"/>
      <c r="LK18" s="118"/>
      <c r="LL18" s="118">
        <v>78.2</v>
      </c>
      <c r="LM18" s="118"/>
      <c r="LN18" s="118">
        <v>99</v>
      </c>
      <c r="LO18" s="118"/>
      <c r="LP18" s="118"/>
      <c r="LQ18" s="118"/>
      <c r="LR18" s="118"/>
      <c r="LS18" s="118"/>
      <c r="LT18" s="118">
        <v>200</v>
      </c>
      <c r="LU18" s="118"/>
      <c r="LV18" s="118">
        <v>256.60000000000002</v>
      </c>
      <c r="LW18" s="118"/>
      <c r="LX18" s="118">
        <f>278.8+167</f>
        <v>445.8</v>
      </c>
      <c r="LY18" s="118"/>
      <c r="LZ18" s="118"/>
      <c r="MA18" s="118"/>
      <c r="MB18" s="118"/>
      <c r="MC18" s="118">
        <v>44</v>
      </c>
      <c r="MD18" s="118">
        <f>215.5+100</f>
        <v>315.5</v>
      </c>
      <c r="ME18" s="118">
        <v>64</v>
      </c>
      <c r="MF18" s="118">
        <v>104</v>
      </c>
      <c r="MG18" s="118"/>
      <c r="MH18" s="118"/>
      <c r="MI18" s="118">
        <v>3503.6</v>
      </c>
      <c r="MJ18" s="118">
        <v>99</v>
      </c>
      <c r="MK18" s="118">
        <v>608.1</v>
      </c>
      <c r="ML18" s="118">
        <f>183.5+168+968.6</f>
        <v>1320.1</v>
      </c>
      <c r="MM18" s="118">
        <v>168</v>
      </c>
      <c r="MN18" s="118"/>
      <c r="MO18" s="118"/>
      <c r="MP18" s="118">
        <v>110</v>
      </c>
      <c r="MQ18" s="118">
        <v>152.80000000000001</v>
      </c>
      <c r="MR18" s="118"/>
      <c r="MS18" s="118"/>
      <c r="MT18" s="118">
        <v>118.2</v>
      </c>
      <c r="MU18" s="118"/>
      <c r="MV18" s="118"/>
      <c r="MW18" s="118"/>
      <c r="MX18" s="114"/>
    </row>
    <row r="19" spans="1:362" ht="10.5" customHeight="1" thickBot="1" x14ac:dyDescent="0.25">
      <c r="A19" s="158" t="s">
        <v>522</v>
      </c>
      <c r="B19" s="159"/>
      <c r="C19" s="160">
        <f>SUM(D20:MW20)</f>
        <v>0</v>
      </c>
      <c r="D19" s="118"/>
      <c r="E19" s="118"/>
      <c r="F19" s="118"/>
      <c r="G19" s="118">
        <v>0</v>
      </c>
      <c r="H19" s="118">
        <v>0</v>
      </c>
      <c r="I19" s="118"/>
      <c r="J19" s="118"/>
      <c r="K19" s="118"/>
      <c r="L19" s="118"/>
      <c r="M19" s="118"/>
      <c r="N19" s="118"/>
      <c r="O19" s="118"/>
      <c r="P19" s="118"/>
      <c r="Q19" s="118">
        <v>0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4"/>
    </row>
    <row r="20" spans="1:362" ht="10.5" customHeight="1" thickBot="1" x14ac:dyDescent="0.25">
      <c r="A20" s="155" t="s">
        <v>523</v>
      </c>
      <c r="B20" s="156" t="s">
        <v>21</v>
      </c>
      <c r="C20" s="157">
        <f>C22+C23+C25+C26+C27+C28+C29+C30+C31</f>
        <v>35222762.026999995</v>
      </c>
      <c r="D20" s="118">
        <v>0</v>
      </c>
      <c r="E20" s="118"/>
      <c r="F20" s="118"/>
      <c r="G20" s="118">
        <v>0</v>
      </c>
      <c r="H20" s="118">
        <v>0</v>
      </c>
      <c r="I20" s="118"/>
      <c r="J20" s="118"/>
      <c r="K20" s="118"/>
      <c r="L20" s="118"/>
      <c r="M20" s="118"/>
      <c r="N20" s="118"/>
      <c r="O20" s="118"/>
      <c r="P20" s="118"/>
      <c r="Q20" s="118">
        <v>0</v>
      </c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4"/>
    </row>
    <row r="21" spans="1:362" s="3" customFormat="1" ht="10.5" customHeight="1" thickBot="1" x14ac:dyDescent="0.25">
      <c r="A21" s="161" t="s">
        <v>524</v>
      </c>
      <c r="B21" s="160"/>
      <c r="C21" s="160">
        <f>SUM(D22:MW22)</f>
        <v>121939355.49999996</v>
      </c>
      <c r="D21" s="123">
        <f>D22+D23+D24+D25+D26+D27+D28+D29+D30+D31</f>
        <v>0</v>
      </c>
      <c r="E21" s="123">
        <f t="shared" ref="E21:BP21" si="15">E22+E23+E24+E25+E26+E27+E28+E29+E30+E31</f>
        <v>2041.2</v>
      </c>
      <c r="F21" s="123">
        <f t="shared" si="15"/>
        <v>179229.6</v>
      </c>
      <c r="G21" s="123">
        <f t="shared" si="15"/>
        <v>3942.6</v>
      </c>
      <c r="H21" s="123">
        <f t="shared" si="15"/>
        <v>15040.14</v>
      </c>
      <c r="I21" s="123">
        <f t="shared" si="15"/>
        <v>193.3</v>
      </c>
      <c r="J21" s="123">
        <f t="shared" si="15"/>
        <v>441067.8</v>
      </c>
      <c r="K21" s="123">
        <f t="shared" si="15"/>
        <v>8289.5</v>
      </c>
      <c r="L21" s="123">
        <f t="shared" si="15"/>
        <v>50542.6</v>
      </c>
      <c r="M21" s="123">
        <f t="shared" si="15"/>
        <v>3588</v>
      </c>
      <c r="N21" s="123">
        <f t="shared" si="15"/>
        <v>5459.5</v>
      </c>
      <c r="O21" s="122">
        <f t="shared" si="15"/>
        <v>60701202.159999996</v>
      </c>
      <c r="P21" s="123">
        <f t="shared" si="15"/>
        <v>9087.1999999999989</v>
      </c>
      <c r="Q21" s="123">
        <f t="shared" si="15"/>
        <v>1858.5</v>
      </c>
      <c r="R21" s="123">
        <f t="shared" si="15"/>
        <v>4866</v>
      </c>
      <c r="S21" s="123">
        <f t="shared" si="15"/>
        <v>38342.399999999994</v>
      </c>
      <c r="T21" s="123">
        <f t="shared" si="15"/>
        <v>295889.09999999998</v>
      </c>
      <c r="U21" s="123">
        <f t="shared" si="15"/>
        <v>63.6</v>
      </c>
      <c r="V21" s="123">
        <f t="shared" si="15"/>
        <v>775988.00000000012</v>
      </c>
      <c r="W21" s="123">
        <f t="shared" si="15"/>
        <v>34272.400000000001</v>
      </c>
      <c r="X21" s="123">
        <f t="shared" si="15"/>
        <v>494</v>
      </c>
      <c r="Y21" s="123">
        <f t="shared" si="15"/>
        <v>171671</v>
      </c>
      <c r="Z21" s="123">
        <f t="shared" si="15"/>
        <v>41261.199999999997</v>
      </c>
      <c r="AA21" s="123">
        <f t="shared" si="15"/>
        <v>16521.599999999999</v>
      </c>
      <c r="AB21" s="123">
        <f t="shared" si="15"/>
        <v>970848.9</v>
      </c>
      <c r="AC21" s="123">
        <f t="shared" si="15"/>
        <v>113.8</v>
      </c>
      <c r="AD21" s="123">
        <f t="shared" si="15"/>
        <v>4742.3</v>
      </c>
      <c r="AE21" s="123">
        <f t="shared" si="15"/>
        <v>393968.5</v>
      </c>
      <c r="AF21" s="123">
        <f t="shared" si="15"/>
        <v>0</v>
      </c>
      <c r="AG21" s="123">
        <f t="shared" si="15"/>
        <v>1293378.8999999999</v>
      </c>
      <c r="AH21" s="123">
        <f t="shared" si="15"/>
        <v>387.1</v>
      </c>
      <c r="AI21" s="123">
        <f t="shared" si="15"/>
        <v>4465.8999999999996</v>
      </c>
      <c r="AJ21" s="123">
        <f t="shared" si="15"/>
        <v>155</v>
      </c>
      <c r="AK21" s="123">
        <f t="shared" si="15"/>
        <v>2015.6</v>
      </c>
      <c r="AL21" s="123">
        <f t="shared" si="15"/>
        <v>5626</v>
      </c>
      <c r="AM21" s="123">
        <f t="shared" si="15"/>
        <v>21918.5</v>
      </c>
      <c r="AN21" s="123">
        <f t="shared" si="15"/>
        <v>30093.3</v>
      </c>
      <c r="AO21" s="123">
        <f t="shared" si="15"/>
        <v>16824.400000000001</v>
      </c>
      <c r="AP21" s="123">
        <f t="shared" si="15"/>
        <v>7790.5</v>
      </c>
      <c r="AQ21" s="123">
        <f t="shared" si="15"/>
        <v>1183.0999999999999</v>
      </c>
      <c r="AR21" s="123">
        <f t="shared" si="15"/>
        <v>3941211.2</v>
      </c>
      <c r="AS21" s="123">
        <f t="shared" si="15"/>
        <v>11657897.4</v>
      </c>
      <c r="AT21" s="123">
        <f t="shared" si="15"/>
        <v>55777.8</v>
      </c>
      <c r="AU21" s="123">
        <f t="shared" si="15"/>
        <v>9880</v>
      </c>
      <c r="AV21" s="123">
        <f t="shared" si="15"/>
        <v>7407</v>
      </c>
      <c r="AW21" s="123">
        <f t="shared" si="15"/>
        <v>25664.6</v>
      </c>
      <c r="AX21" s="123">
        <f t="shared" si="15"/>
        <v>1203988.31</v>
      </c>
      <c r="AY21" s="123">
        <f t="shared" si="15"/>
        <v>1125269.6300000001</v>
      </c>
      <c r="AZ21" s="123">
        <f t="shared" si="15"/>
        <v>14025.9</v>
      </c>
      <c r="BA21" s="123">
        <f t="shared" si="15"/>
        <v>9701.4000000000015</v>
      </c>
      <c r="BB21" s="123">
        <f t="shared" si="15"/>
        <v>17229.05</v>
      </c>
      <c r="BC21" s="123">
        <f t="shared" si="15"/>
        <v>78800.849999999991</v>
      </c>
      <c r="BD21" s="123">
        <f t="shared" si="15"/>
        <v>77.92</v>
      </c>
      <c r="BE21" s="123">
        <f t="shared" si="15"/>
        <v>1486.32</v>
      </c>
      <c r="BF21" s="123">
        <f t="shared" si="15"/>
        <v>228.9</v>
      </c>
      <c r="BG21" s="123">
        <f t="shared" si="15"/>
        <v>110709.37</v>
      </c>
      <c r="BH21" s="123">
        <f t="shared" si="15"/>
        <v>29226.620000000003</v>
      </c>
      <c r="BI21" s="123">
        <f t="shared" si="15"/>
        <v>7993.7999999999993</v>
      </c>
      <c r="BJ21" s="123">
        <f t="shared" si="15"/>
        <v>58200.47</v>
      </c>
      <c r="BK21" s="123">
        <f t="shared" si="15"/>
        <v>443.6</v>
      </c>
      <c r="BL21" s="123">
        <f t="shared" si="15"/>
        <v>57150.5</v>
      </c>
      <c r="BM21" s="123">
        <f t="shared" si="15"/>
        <v>27456.3</v>
      </c>
      <c r="BN21" s="123">
        <f t="shared" si="15"/>
        <v>4635.05</v>
      </c>
      <c r="BO21" s="123">
        <f t="shared" si="15"/>
        <v>0</v>
      </c>
      <c r="BP21" s="123">
        <f t="shared" si="15"/>
        <v>0</v>
      </c>
      <c r="BQ21" s="123">
        <f t="shared" ref="BQ21:EA21" si="16">BQ22+BQ23+BQ24+BQ25+BQ26+BQ27+BQ28+BQ29+BQ30+BQ31</f>
        <v>49916.800000000003</v>
      </c>
      <c r="BR21" s="123">
        <f t="shared" si="16"/>
        <v>5010.78</v>
      </c>
      <c r="BS21" s="123">
        <f t="shared" si="16"/>
        <v>37244.25</v>
      </c>
      <c r="BT21" s="123">
        <f t="shared" si="16"/>
        <v>2910.81</v>
      </c>
      <c r="BU21" s="123">
        <f t="shared" si="16"/>
        <v>750</v>
      </c>
      <c r="BV21" s="123">
        <f t="shared" si="16"/>
        <v>61388.125</v>
      </c>
      <c r="BW21" s="123">
        <f t="shared" si="16"/>
        <v>931.25199999999995</v>
      </c>
      <c r="BX21" s="123">
        <f t="shared" si="16"/>
        <v>5758.6620000000003</v>
      </c>
      <c r="BY21" s="123">
        <f t="shared" si="16"/>
        <v>378.41199999999998</v>
      </c>
      <c r="BZ21" s="123">
        <f t="shared" si="16"/>
        <v>135</v>
      </c>
      <c r="CA21" s="123">
        <f t="shared" si="16"/>
        <v>1722363.4</v>
      </c>
      <c r="CB21" s="123">
        <f t="shared" si="16"/>
        <v>3658</v>
      </c>
      <c r="CC21" s="123">
        <f t="shared" si="16"/>
        <v>24838.34</v>
      </c>
      <c r="CD21" s="123">
        <f t="shared" si="16"/>
        <v>188</v>
      </c>
      <c r="CE21" s="123">
        <f t="shared" si="16"/>
        <v>2452.1999999999998</v>
      </c>
      <c r="CF21" s="123">
        <f t="shared" si="16"/>
        <v>256.26100000000002</v>
      </c>
      <c r="CG21" s="123">
        <f t="shared" si="16"/>
        <v>8138.1769999999997</v>
      </c>
      <c r="CH21" s="123">
        <f t="shared" si="16"/>
        <v>132151.465</v>
      </c>
      <c r="CI21" s="123">
        <f t="shared" si="16"/>
        <v>183106.524</v>
      </c>
      <c r="CJ21" s="123">
        <f t="shared" si="16"/>
        <v>869554</v>
      </c>
      <c r="CK21" s="123">
        <f t="shared" si="16"/>
        <v>179148.57299999997</v>
      </c>
      <c r="CL21" s="123">
        <f t="shared" si="16"/>
        <v>94314.660999999993</v>
      </c>
      <c r="CM21" s="123">
        <f t="shared" si="16"/>
        <v>5255506.8480000002</v>
      </c>
      <c r="CN21" s="123">
        <f t="shared" si="16"/>
        <v>0</v>
      </c>
      <c r="CO21" s="123">
        <f t="shared" si="16"/>
        <v>15475.189999999999</v>
      </c>
      <c r="CP21" s="123">
        <f t="shared" si="16"/>
        <v>1590783.6</v>
      </c>
      <c r="CQ21" s="123">
        <f t="shared" si="16"/>
        <v>3792.8</v>
      </c>
      <c r="CR21" s="123">
        <f t="shared" si="16"/>
        <v>5611.4</v>
      </c>
      <c r="CS21" s="123">
        <f t="shared" si="16"/>
        <v>10364.299999999999</v>
      </c>
      <c r="CT21" s="123">
        <f t="shared" si="16"/>
        <v>0</v>
      </c>
      <c r="CU21" s="123">
        <f t="shared" si="16"/>
        <v>1251.7849999999999</v>
      </c>
      <c r="CV21" s="123">
        <f t="shared" si="16"/>
        <v>4115.8</v>
      </c>
      <c r="CW21" s="123">
        <f t="shared" si="16"/>
        <v>78056.7</v>
      </c>
      <c r="CX21" s="123">
        <f t="shared" si="16"/>
        <v>468.21</v>
      </c>
      <c r="CY21" s="123">
        <f t="shared" si="16"/>
        <v>311094.90000000002</v>
      </c>
      <c r="CZ21" s="123">
        <f t="shared" si="16"/>
        <v>1700</v>
      </c>
      <c r="DA21" s="123">
        <f t="shared" si="16"/>
        <v>14165</v>
      </c>
      <c r="DB21" s="123">
        <f t="shared" si="16"/>
        <v>13734</v>
      </c>
      <c r="DC21" s="123">
        <f t="shared" si="16"/>
        <v>0</v>
      </c>
      <c r="DD21" s="123">
        <f t="shared" si="16"/>
        <v>8176.5860000000002</v>
      </c>
      <c r="DE21" s="123">
        <f t="shared" si="16"/>
        <v>27181.333999999999</v>
      </c>
      <c r="DF21" s="123">
        <f t="shared" si="16"/>
        <v>0</v>
      </c>
      <c r="DG21" s="123">
        <f t="shared" si="16"/>
        <v>220.976</v>
      </c>
      <c r="DH21" s="123">
        <f t="shared" si="16"/>
        <v>21854.6</v>
      </c>
      <c r="DI21" s="123">
        <f t="shared" si="16"/>
        <v>22712.401000000002</v>
      </c>
      <c r="DJ21" s="123">
        <f t="shared" si="16"/>
        <v>123681.65000000001</v>
      </c>
      <c r="DK21" s="123">
        <f t="shared" si="16"/>
        <v>23352.04</v>
      </c>
      <c r="DL21" s="123">
        <f t="shared" si="16"/>
        <v>9734.2999999999993</v>
      </c>
      <c r="DM21" s="123">
        <f t="shared" si="16"/>
        <v>9093.9</v>
      </c>
      <c r="DN21" s="123">
        <f t="shared" si="16"/>
        <v>8307.5</v>
      </c>
      <c r="DO21" s="123">
        <f t="shared" si="16"/>
        <v>7168.55</v>
      </c>
      <c r="DP21" s="123">
        <f t="shared" si="16"/>
        <v>4724.4780000000001</v>
      </c>
      <c r="DQ21" s="123">
        <f t="shared" si="16"/>
        <v>59852.100000000006</v>
      </c>
      <c r="DR21" s="123">
        <f t="shared" si="16"/>
        <v>6317.0209999999997</v>
      </c>
      <c r="DS21" s="123">
        <f t="shared" si="16"/>
        <v>1580.7329999999999</v>
      </c>
      <c r="DT21" s="123">
        <f t="shared" si="16"/>
        <v>79641</v>
      </c>
      <c r="DU21" s="123">
        <f t="shared" si="16"/>
        <v>3571.7000000000003</v>
      </c>
      <c r="DV21" s="123">
        <f t="shared" si="16"/>
        <v>4734.99</v>
      </c>
      <c r="DW21" s="123">
        <f t="shared" si="16"/>
        <v>5506.6500000000005</v>
      </c>
      <c r="DX21" s="123">
        <f t="shared" si="16"/>
        <v>13859.241000000002</v>
      </c>
      <c r="DY21" s="123">
        <f t="shared" si="16"/>
        <v>3966.2</v>
      </c>
      <c r="DZ21" s="123">
        <f t="shared" si="16"/>
        <v>83818.358999999997</v>
      </c>
      <c r="EA21" s="123">
        <f t="shared" si="16"/>
        <v>19275.556</v>
      </c>
      <c r="EB21" s="123">
        <f t="shared" ref="EB21:GD21" si="17">EB22+EB23+EB24+EB25+EB26+EB27+EB28+EB29+EB30+EB31</f>
        <v>104053.378</v>
      </c>
      <c r="EC21" s="123">
        <f t="shared" si="17"/>
        <v>2516</v>
      </c>
      <c r="ED21" s="123">
        <f t="shared" si="17"/>
        <v>325</v>
      </c>
      <c r="EE21" s="123">
        <f t="shared" si="17"/>
        <v>5960.0439999999999</v>
      </c>
      <c r="EF21" s="123">
        <f t="shared" si="17"/>
        <v>390</v>
      </c>
      <c r="EG21" s="123">
        <f t="shared" si="17"/>
        <v>1270.52</v>
      </c>
      <c r="EH21" s="123">
        <f t="shared" si="17"/>
        <v>779.2</v>
      </c>
      <c r="EI21" s="123">
        <f t="shared" si="17"/>
        <v>16200.612999999999</v>
      </c>
      <c r="EJ21" s="123">
        <f t="shared" si="17"/>
        <v>5188.8500000000004</v>
      </c>
      <c r="EK21" s="123">
        <f t="shared" si="17"/>
        <v>5028.2</v>
      </c>
      <c r="EL21" s="123">
        <f t="shared" si="17"/>
        <v>58326.183000000005</v>
      </c>
      <c r="EM21" s="123">
        <f t="shared" si="17"/>
        <v>6761.42</v>
      </c>
      <c r="EN21" s="123">
        <f t="shared" si="17"/>
        <v>8339795.2000000002</v>
      </c>
      <c r="EO21" s="123">
        <f t="shared" si="17"/>
        <v>65</v>
      </c>
      <c r="EP21" s="123">
        <f t="shared" si="17"/>
        <v>44882</v>
      </c>
      <c r="EQ21" s="123">
        <f t="shared" si="17"/>
        <v>11393.029999999999</v>
      </c>
      <c r="ER21" s="123">
        <f t="shared" si="17"/>
        <v>52987.777000000002</v>
      </c>
      <c r="ES21" s="123">
        <f t="shared" si="17"/>
        <v>11305.542000000001</v>
      </c>
      <c r="ET21" s="123">
        <f t="shared" si="17"/>
        <v>1336.3</v>
      </c>
      <c r="EU21" s="123">
        <f t="shared" si="17"/>
        <v>24097.417000000001</v>
      </c>
      <c r="EV21" s="123">
        <f t="shared" si="17"/>
        <v>5115</v>
      </c>
      <c r="EW21" s="123">
        <f t="shared" si="17"/>
        <v>330712.5</v>
      </c>
      <c r="EX21" s="123">
        <f t="shared" si="17"/>
        <v>7458.89</v>
      </c>
      <c r="EY21" s="123">
        <f t="shared" si="17"/>
        <v>271919.44400000002</v>
      </c>
      <c r="EZ21" s="123">
        <f t="shared" si="17"/>
        <v>14617.911</v>
      </c>
      <c r="FA21" s="123">
        <f t="shared" si="17"/>
        <v>1227510.7</v>
      </c>
      <c r="FB21" s="123">
        <f t="shared" si="17"/>
        <v>158913.4</v>
      </c>
      <c r="FC21" s="123">
        <f t="shared" si="17"/>
        <v>418384.19999999995</v>
      </c>
      <c r="FD21" s="123">
        <f t="shared" si="17"/>
        <v>2106.3599999999997</v>
      </c>
      <c r="FE21" s="123">
        <f t="shared" si="17"/>
        <v>441.37799999999999</v>
      </c>
      <c r="FF21" s="123">
        <f t="shared" si="17"/>
        <v>4913.6640000000007</v>
      </c>
      <c r="FG21" s="123">
        <f t="shared" si="17"/>
        <v>5895</v>
      </c>
      <c r="FH21" s="123">
        <f t="shared" si="17"/>
        <v>31148.101000000002</v>
      </c>
      <c r="FI21" s="123">
        <f t="shared" si="17"/>
        <v>63591.334999999999</v>
      </c>
      <c r="FJ21" s="123">
        <f t="shared" si="17"/>
        <v>1683.7750000000001</v>
      </c>
      <c r="FK21" s="123">
        <f t="shared" si="17"/>
        <v>3271.2</v>
      </c>
      <c r="FL21" s="123">
        <f t="shared" si="17"/>
        <v>4125.6000000000004</v>
      </c>
      <c r="FM21" s="123">
        <f t="shared" si="17"/>
        <v>449297.25099999999</v>
      </c>
      <c r="FN21" s="123">
        <f t="shared" si="17"/>
        <v>280.46699999999998</v>
      </c>
      <c r="FO21" s="123">
        <f t="shared" si="17"/>
        <v>11778.618999999999</v>
      </c>
      <c r="FP21" s="123">
        <f t="shared" si="17"/>
        <v>2144.7600000000002</v>
      </c>
      <c r="FQ21" s="123">
        <f t="shared" si="17"/>
        <v>22263</v>
      </c>
      <c r="FR21" s="123">
        <f t="shared" si="17"/>
        <v>14742978.800000001</v>
      </c>
      <c r="FS21" s="123">
        <f t="shared" si="17"/>
        <v>186757.69999999998</v>
      </c>
      <c r="FT21" s="123">
        <f t="shared" si="17"/>
        <v>1502840.9000000001</v>
      </c>
      <c r="FU21" s="123">
        <f t="shared" si="17"/>
        <v>0</v>
      </c>
      <c r="FV21" s="123">
        <f t="shared" si="17"/>
        <v>64912.294999999998</v>
      </c>
      <c r="FW21" s="123">
        <f t="shared" si="17"/>
        <v>108551.436</v>
      </c>
      <c r="FX21" s="123">
        <f t="shared" si="17"/>
        <v>285249.68</v>
      </c>
      <c r="FY21" s="123">
        <f t="shared" si="17"/>
        <v>22633.042000000001</v>
      </c>
      <c r="FZ21" s="123">
        <f t="shared" si="17"/>
        <v>495</v>
      </c>
      <c r="GA21" s="123">
        <f t="shared" si="17"/>
        <v>440621.25999999966</v>
      </c>
      <c r="GB21" s="123">
        <f t="shared" si="17"/>
        <v>74307</v>
      </c>
      <c r="GC21" s="123">
        <f t="shared" si="17"/>
        <v>7848</v>
      </c>
      <c r="GD21" s="123">
        <f t="shared" si="17"/>
        <v>22181.5</v>
      </c>
      <c r="GE21" s="123">
        <f>GE22+GE23+GE24+GE25+GE26+GE27+GE28+GE29+GE30+GE31</f>
        <v>29348.6</v>
      </c>
      <c r="GF21" s="123">
        <f>GF22+GF23+GF24+GF25+GF26+GF27+GF28+GF29+GF30+GF31</f>
        <v>42567.19</v>
      </c>
      <c r="GG21" s="123">
        <f>GG22+GG23+GG24+GG25+GG26+GG27+GG28+GG29+GG30+GG31</f>
        <v>29664.7</v>
      </c>
      <c r="GH21" s="123">
        <f t="shared" ref="GH21:IQ21" si="18">GH22+GH23+GH24+GH25+GH26+GH27+GH28+GH29+GH30+GH31</f>
        <v>12664.5</v>
      </c>
      <c r="GI21" s="123">
        <f t="shared" si="18"/>
        <v>33211</v>
      </c>
      <c r="GJ21" s="123">
        <f t="shared" si="18"/>
        <v>0</v>
      </c>
      <c r="GK21" s="123">
        <f t="shared" si="18"/>
        <v>5877.6</v>
      </c>
      <c r="GL21" s="123">
        <f t="shared" si="18"/>
        <v>2925</v>
      </c>
      <c r="GM21" s="123">
        <f t="shared" si="18"/>
        <v>0</v>
      </c>
      <c r="GN21" s="123">
        <f t="shared" si="18"/>
        <v>8182.6</v>
      </c>
      <c r="GO21" s="123">
        <f t="shared" si="18"/>
        <v>166511.06899999999</v>
      </c>
      <c r="GP21" s="123">
        <f t="shared" si="18"/>
        <v>71742.399999999994</v>
      </c>
      <c r="GQ21" s="123">
        <f t="shared" si="18"/>
        <v>51413.7</v>
      </c>
      <c r="GR21" s="123">
        <f t="shared" si="18"/>
        <v>111801.292</v>
      </c>
      <c r="GS21" s="123">
        <f t="shared" si="18"/>
        <v>17573.787</v>
      </c>
      <c r="GT21" s="123">
        <f t="shared" si="18"/>
        <v>0</v>
      </c>
      <c r="GU21" s="123">
        <f t="shared" si="18"/>
        <v>7244.5330000000004</v>
      </c>
      <c r="GV21" s="123">
        <f t="shared" si="18"/>
        <v>18597</v>
      </c>
      <c r="GW21" s="123">
        <f t="shared" si="18"/>
        <v>0</v>
      </c>
      <c r="GX21" s="123">
        <f t="shared" si="18"/>
        <v>9401.18</v>
      </c>
      <c r="GY21" s="123">
        <f t="shared" si="18"/>
        <v>1342.326</v>
      </c>
      <c r="GZ21" s="123">
        <f t="shared" si="18"/>
        <v>4395.1000000000004</v>
      </c>
      <c r="HA21" s="123">
        <f t="shared" si="18"/>
        <v>0</v>
      </c>
      <c r="HB21" s="123">
        <f t="shared" si="18"/>
        <v>8841.9670000000006</v>
      </c>
      <c r="HC21" s="123">
        <f t="shared" si="18"/>
        <v>4575</v>
      </c>
      <c r="HD21" s="123">
        <f t="shared" si="18"/>
        <v>0</v>
      </c>
      <c r="HE21" s="123">
        <f t="shared" si="18"/>
        <v>2467.8000000000002</v>
      </c>
      <c r="HF21" s="123">
        <f t="shared" si="18"/>
        <v>242.03100000000001</v>
      </c>
      <c r="HG21" s="123">
        <f t="shared" si="18"/>
        <v>1138.5</v>
      </c>
      <c r="HH21" s="123">
        <f t="shared" si="18"/>
        <v>0</v>
      </c>
      <c r="HI21" s="123">
        <f t="shared" si="18"/>
        <v>125</v>
      </c>
      <c r="HJ21" s="123">
        <f t="shared" si="18"/>
        <v>168524</v>
      </c>
      <c r="HK21" s="123">
        <f t="shared" si="18"/>
        <v>10590.68</v>
      </c>
      <c r="HL21" s="123">
        <f t="shared" si="18"/>
        <v>3045</v>
      </c>
      <c r="HM21" s="123">
        <f t="shared" si="18"/>
        <v>999</v>
      </c>
      <c r="HN21" s="123">
        <f t="shared" si="18"/>
        <v>127353.88800000001</v>
      </c>
      <c r="HO21" s="123">
        <f t="shared" si="18"/>
        <v>2256.2780000000002</v>
      </c>
      <c r="HP21" s="123">
        <f t="shared" si="18"/>
        <v>5405.4</v>
      </c>
      <c r="HQ21" s="123">
        <f t="shared" si="18"/>
        <v>3180</v>
      </c>
      <c r="HR21" s="123">
        <f t="shared" si="18"/>
        <v>0</v>
      </c>
      <c r="HS21" s="123">
        <f t="shared" si="18"/>
        <v>0</v>
      </c>
      <c r="HT21" s="123">
        <f t="shared" si="18"/>
        <v>0</v>
      </c>
      <c r="HU21" s="123">
        <f t="shared" si="18"/>
        <v>1828.6</v>
      </c>
      <c r="HV21" s="123">
        <f t="shared" si="18"/>
        <v>51799.899999999994</v>
      </c>
      <c r="HW21" s="123">
        <f t="shared" si="18"/>
        <v>5734.9</v>
      </c>
      <c r="HX21" s="123">
        <f t="shared" si="18"/>
        <v>8161.5999999999995</v>
      </c>
      <c r="HY21" s="123">
        <f t="shared" si="18"/>
        <v>11459.6</v>
      </c>
      <c r="HZ21" s="123">
        <f t="shared" si="18"/>
        <v>7971</v>
      </c>
      <c r="IA21" s="123">
        <f t="shared" si="18"/>
        <v>26321.414000000001</v>
      </c>
      <c r="IB21" s="123">
        <f t="shared" si="18"/>
        <v>76602.723000000013</v>
      </c>
      <c r="IC21" s="123">
        <f t="shared" si="18"/>
        <v>11872.092999999997</v>
      </c>
      <c r="ID21" s="123">
        <f t="shared" si="18"/>
        <v>2850</v>
      </c>
      <c r="IE21" s="123">
        <f t="shared" si="18"/>
        <v>0</v>
      </c>
      <c r="IF21" s="123">
        <f t="shared" si="18"/>
        <v>4443.7</v>
      </c>
      <c r="IG21" s="123">
        <f t="shared" si="18"/>
        <v>0</v>
      </c>
      <c r="IH21" s="123">
        <f t="shared" si="18"/>
        <v>0</v>
      </c>
      <c r="II21" s="123">
        <f t="shared" si="18"/>
        <v>40304.531000000003</v>
      </c>
      <c r="IJ21" s="123">
        <f t="shared" si="18"/>
        <v>4393.7929999999997</v>
      </c>
      <c r="IK21" s="123">
        <f t="shared" si="18"/>
        <v>4167.3</v>
      </c>
      <c r="IL21" s="123">
        <f t="shared" si="18"/>
        <v>8565</v>
      </c>
      <c r="IM21" s="123">
        <f t="shared" si="18"/>
        <v>7376.1319999999996</v>
      </c>
      <c r="IN21" s="123">
        <f t="shared" si="18"/>
        <v>2544</v>
      </c>
      <c r="IO21" s="123">
        <f>IO22+IO23+IO24+IO25+IO26+IO27+IO28+IO29+IO30+IO31</f>
        <v>13628.960000000001</v>
      </c>
      <c r="IP21" s="123">
        <f>IP22+IO23+IP24+IP25+IP26+IP27+IP28+IP29+IP30+IP31</f>
        <v>29530.959999999999</v>
      </c>
      <c r="IQ21" s="123">
        <f t="shared" si="18"/>
        <v>512.64</v>
      </c>
      <c r="IR21" s="123">
        <f t="shared" ref="IR21:KM21" si="19">IR22+IR23+IR24+IR25+IR26+IR27+IR28+IR29+IR30+IR31</f>
        <v>127196.08799999999</v>
      </c>
      <c r="IS21" s="123">
        <f t="shared" si="19"/>
        <v>49049.599999999999</v>
      </c>
      <c r="IT21" s="123">
        <f t="shared" si="19"/>
        <v>298.5</v>
      </c>
      <c r="IU21" s="123">
        <f t="shared" si="19"/>
        <v>243</v>
      </c>
      <c r="IV21" s="123">
        <f t="shared" si="19"/>
        <v>7380</v>
      </c>
      <c r="IW21" s="123">
        <f t="shared" si="19"/>
        <v>68793.200000000012</v>
      </c>
      <c r="IX21" s="123">
        <f t="shared" si="19"/>
        <v>11430.32</v>
      </c>
      <c r="IY21" s="123">
        <f t="shared" si="19"/>
        <v>0</v>
      </c>
      <c r="IZ21" s="123">
        <f t="shared" si="19"/>
        <v>612.42499999999995</v>
      </c>
      <c r="JA21" s="123">
        <f t="shared" si="19"/>
        <v>12243.38</v>
      </c>
      <c r="JB21" s="123">
        <f t="shared" si="19"/>
        <v>0</v>
      </c>
      <c r="JC21" s="123">
        <f t="shared" si="19"/>
        <v>3120</v>
      </c>
      <c r="JD21" s="123">
        <f t="shared" si="19"/>
        <v>48913.027000000002</v>
      </c>
      <c r="JE21" s="123">
        <f t="shared" si="19"/>
        <v>10655.505000000001</v>
      </c>
      <c r="JF21" s="123">
        <f t="shared" si="19"/>
        <v>3723.8</v>
      </c>
      <c r="JG21" s="123">
        <f t="shared" si="19"/>
        <v>11663</v>
      </c>
      <c r="JH21" s="123">
        <f t="shared" si="19"/>
        <v>4825.6000000000004</v>
      </c>
      <c r="JI21" s="123">
        <f t="shared" si="19"/>
        <v>0</v>
      </c>
      <c r="JJ21" s="123">
        <f t="shared" si="19"/>
        <v>13866.4</v>
      </c>
      <c r="JK21" s="123">
        <f t="shared" si="19"/>
        <v>0</v>
      </c>
      <c r="JL21" s="123">
        <f t="shared" si="19"/>
        <v>8265.8240000000005</v>
      </c>
      <c r="JM21" s="123">
        <f t="shared" si="19"/>
        <v>138625.20000000001</v>
      </c>
      <c r="JN21" s="123">
        <f t="shared" si="19"/>
        <v>155180.27100000001</v>
      </c>
      <c r="JO21" s="123">
        <f t="shared" si="19"/>
        <v>73330.700000000012</v>
      </c>
      <c r="JP21" s="123">
        <f t="shared" si="19"/>
        <v>0</v>
      </c>
      <c r="JQ21" s="123">
        <f t="shared" si="19"/>
        <v>66625.782999999996</v>
      </c>
      <c r="JR21" s="123">
        <f t="shared" si="19"/>
        <v>1185</v>
      </c>
      <c r="JS21" s="123">
        <f t="shared" si="19"/>
        <v>0</v>
      </c>
      <c r="JT21" s="123">
        <f t="shared" si="19"/>
        <v>86153.241000000009</v>
      </c>
      <c r="JU21" s="123">
        <f t="shared" si="19"/>
        <v>41385.899999999994</v>
      </c>
      <c r="JV21" s="123">
        <f t="shared" si="19"/>
        <v>2477.8000000000002</v>
      </c>
      <c r="JW21" s="123">
        <f t="shared" si="19"/>
        <v>968197.8</v>
      </c>
      <c r="JX21" s="123">
        <f t="shared" si="19"/>
        <v>9326.1190000000006</v>
      </c>
      <c r="JY21" s="123">
        <f t="shared" si="19"/>
        <v>555</v>
      </c>
      <c r="JZ21" s="123">
        <f t="shared" si="19"/>
        <v>900.6</v>
      </c>
      <c r="KA21" s="123">
        <f t="shared" si="19"/>
        <v>5800</v>
      </c>
      <c r="KB21" s="123">
        <f t="shared" si="19"/>
        <v>8716.44</v>
      </c>
      <c r="KC21" s="123">
        <f t="shared" si="19"/>
        <v>7382</v>
      </c>
      <c r="KD21" s="123">
        <f t="shared" si="19"/>
        <v>427</v>
      </c>
      <c r="KE21" s="123">
        <f t="shared" si="19"/>
        <v>3185.7</v>
      </c>
      <c r="KF21" s="123">
        <f t="shared" si="19"/>
        <v>1747.4</v>
      </c>
      <c r="KG21" s="123">
        <f t="shared" si="19"/>
        <v>174910.98499999999</v>
      </c>
      <c r="KH21" s="123">
        <f t="shared" si="19"/>
        <v>0</v>
      </c>
      <c r="KI21" s="123">
        <f t="shared" si="19"/>
        <v>37290</v>
      </c>
      <c r="KJ21" s="123">
        <f t="shared" si="19"/>
        <v>3628.8549999999996</v>
      </c>
      <c r="KK21" s="123">
        <f t="shared" si="19"/>
        <v>6933</v>
      </c>
      <c r="KL21" s="123">
        <f t="shared" si="19"/>
        <v>621.34</v>
      </c>
      <c r="KM21" s="123">
        <f t="shared" si="19"/>
        <v>5445.6</v>
      </c>
      <c r="KN21" s="123">
        <f t="shared" ref="KN21:LB21" si="20">KN22+KN23+KN24+KN25+KN26+KN27+KN28+KN29+KN30+KN31</f>
        <v>8285.4</v>
      </c>
      <c r="KO21" s="123">
        <f t="shared" si="20"/>
        <v>4926</v>
      </c>
      <c r="KP21" s="123">
        <f t="shared" si="20"/>
        <v>39801</v>
      </c>
      <c r="KQ21" s="123">
        <f t="shared" si="20"/>
        <v>7358.25</v>
      </c>
      <c r="KR21" s="123">
        <f t="shared" si="20"/>
        <v>13800</v>
      </c>
      <c r="KS21" s="123">
        <f t="shared" si="20"/>
        <v>2400</v>
      </c>
      <c r="KT21" s="123">
        <f t="shared" si="20"/>
        <v>2980.6</v>
      </c>
      <c r="KU21" s="123">
        <f t="shared" si="20"/>
        <v>1290</v>
      </c>
      <c r="KV21" s="123">
        <f t="shared" si="20"/>
        <v>0</v>
      </c>
      <c r="KW21" s="123">
        <f t="shared" si="20"/>
        <v>1220709.7949999999</v>
      </c>
      <c r="KX21" s="123">
        <f t="shared" si="20"/>
        <v>7283</v>
      </c>
      <c r="KY21" s="123">
        <f t="shared" si="20"/>
        <v>16091.539999999999</v>
      </c>
      <c r="KZ21" s="123">
        <f t="shared" si="20"/>
        <v>0</v>
      </c>
      <c r="LA21" s="123">
        <f t="shared" si="20"/>
        <v>0</v>
      </c>
      <c r="LB21" s="123">
        <f t="shared" si="20"/>
        <v>2298</v>
      </c>
      <c r="LC21" s="123">
        <f t="shared" ref="LC21:MW21" si="21">LC22+LC23+LC24+LC25+LC26+LC27+LC28+LC29+LC30+LC31</f>
        <v>806</v>
      </c>
      <c r="LD21" s="123">
        <f t="shared" si="21"/>
        <v>0</v>
      </c>
      <c r="LE21" s="123">
        <f t="shared" si="21"/>
        <v>0</v>
      </c>
      <c r="LF21" s="123">
        <f t="shared" si="21"/>
        <v>5505520.0130000003</v>
      </c>
      <c r="LG21" s="123">
        <f t="shared" si="21"/>
        <v>160968.30000000002</v>
      </c>
      <c r="LH21" s="123">
        <f t="shared" si="21"/>
        <v>45285</v>
      </c>
      <c r="LI21" s="123">
        <f t="shared" si="21"/>
        <v>0</v>
      </c>
      <c r="LJ21" s="123">
        <f t="shared" si="21"/>
        <v>0</v>
      </c>
      <c r="LK21" s="123">
        <f t="shared" si="21"/>
        <v>2857.5</v>
      </c>
      <c r="LL21" s="123">
        <f t="shared" si="21"/>
        <v>900</v>
      </c>
      <c r="LM21" s="123">
        <f t="shared" si="21"/>
        <v>1058.586</v>
      </c>
      <c r="LN21" s="123">
        <f t="shared" si="21"/>
        <v>20303.8</v>
      </c>
      <c r="LO21" s="123">
        <f t="shared" si="21"/>
        <v>885</v>
      </c>
      <c r="LP21" s="123">
        <f t="shared" si="21"/>
        <v>555</v>
      </c>
      <c r="LQ21" s="123">
        <f t="shared" si="21"/>
        <v>3075</v>
      </c>
      <c r="LR21" s="123">
        <f t="shared" si="21"/>
        <v>50826.116999999998</v>
      </c>
      <c r="LS21" s="123">
        <f t="shared" si="21"/>
        <v>0</v>
      </c>
      <c r="LT21" s="123">
        <f t="shared" si="21"/>
        <v>8908</v>
      </c>
      <c r="LU21" s="123">
        <f t="shared" si="21"/>
        <v>1284.3499999999999</v>
      </c>
      <c r="LV21" s="123">
        <f t="shared" si="21"/>
        <v>11718.071</v>
      </c>
      <c r="LW21" s="123">
        <f t="shared" si="21"/>
        <v>40071.286</v>
      </c>
      <c r="LX21" s="123">
        <f t="shared" si="21"/>
        <v>7429.6989999999996</v>
      </c>
      <c r="LY21" s="123">
        <f t="shared" si="21"/>
        <v>9729.33</v>
      </c>
      <c r="LZ21" s="123">
        <f t="shared" si="21"/>
        <v>1625.8000000000002</v>
      </c>
      <c r="MA21" s="123">
        <f t="shared" si="21"/>
        <v>2310</v>
      </c>
      <c r="MB21" s="123">
        <f t="shared" si="21"/>
        <v>37515.25</v>
      </c>
      <c r="MC21" s="123">
        <f t="shared" si="21"/>
        <v>9575</v>
      </c>
      <c r="MD21" s="123">
        <f t="shared" si="21"/>
        <v>23639.476999999999</v>
      </c>
      <c r="ME21" s="123">
        <f t="shared" si="21"/>
        <v>21337.200000000001</v>
      </c>
      <c r="MF21" s="123">
        <f t="shared" si="21"/>
        <v>265.24</v>
      </c>
      <c r="MG21" s="123">
        <f t="shared" si="21"/>
        <v>4083.9</v>
      </c>
      <c r="MH21" s="123">
        <f t="shared" si="21"/>
        <v>182.42</v>
      </c>
      <c r="MI21" s="123">
        <f t="shared" si="21"/>
        <v>1562513.9249999998</v>
      </c>
      <c r="MJ21" s="123">
        <f t="shared" si="21"/>
        <v>8.8650000000000002</v>
      </c>
      <c r="MK21" s="123">
        <f t="shared" si="21"/>
        <v>92124.7</v>
      </c>
      <c r="ML21" s="123">
        <f t="shared" si="21"/>
        <v>4914637.3620000007</v>
      </c>
      <c r="MM21" s="123">
        <f t="shared" si="21"/>
        <v>0</v>
      </c>
      <c r="MN21" s="123">
        <f t="shared" si="21"/>
        <v>7782</v>
      </c>
      <c r="MO21" s="123">
        <f t="shared" si="21"/>
        <v>0</v>
      </c>
      <c r="MP21" s="123">
        <f t="shared" si="21"/>
        <v>4974.2929999999997</v>
      </c>
      <c r="MQ21" s="123">
        <f t="shared" si="21"/>
        <v>67248.899999999994</v>
      </c>
      <c r="MR21" s="123">
        <f t="shared" si="21"/>
        <v>5220</v>
      </c>
      <c r="MS21" s="123">
        <f t="shared" si="21"/>
        <v>16940</v>
      </c>
      <c r="MT21" s="123">
        <f t="shared" si="21"/>
        <v>927.59999999999991</v>
      </c>
      <c r="MU21" s="123">
        <f t="shared" si="21"/>
        <v>2650.2469999999998</v>
      </c>
      <c r="MV21" s="123">
        <f t="shared" si="21"/>
        <v>30595.444000000003</v>
      </c>
      <c r="MW21" s="123">
        <f t="shared" si="21"/>
        <v>0</v>
      </c>
      <c r="MX21" s="124"/>
    </row>
    <row r="22" spans="1:362" ht="11.25" customHeight="1" thickBot="1" x14ac:dyDescent="0.25">
      <c r="A22" s="158" t="s">
        <v>525</v>
      </c>
      <c r="B22" s="159"/>
      <c r="C22" s="160">
        <f>SUM(D23:MW23)</f>
        <v>3658714.7369999988</v>
      </c>
      <c r="D22" s="118"/>
      <c r="E22" s="118">
        <v>1726.2</v>
      </c>
      <c r="F22" s="118">
        <v>175014.6</v>
      </c>
      <c r="G22" s="118"/>
      <c r="H22" s="118"/>
      <c r="I22" s="118"/>
      <c r="J22" s="118">
        <v>29743.7</v>
      </c>
      <c r="K22" s="118"/>
      <c r="L22" s="118">
        <f>1106.6+33446.9+8167.1</f>
        <v>42720.6</v>
      </c>
      <c r="M22" s="118"/>
      <c r="N22" s="118">
        <v>1944.3</v>
      </c>
      <c r="O22" s="126">
        <f>45858171.9+11842383.7</f>
        <v>57700555.599999994</v>
      </c>
      <c r="P22" s="118">
        <f>5849.9+2047.5</f>
        <v>7897.4</v>
      </c>
      <c r="Q22" s="118"/>
      <c r="R22" s="118"/>
      <c r="S22" s="118">
        <f>13891.3+4167.4</f>
        <v>18058.699999999997</v>
      </c>
      <c r="T22" s="118">
        <v>19161.8</v>
      </c>
      <c r="U22" s="118"/>
      <c r="V22" s="118"/>
      <c r="W22" s="118">
        <v>23605.9</v>
      </c>
      <c r="X22" s="118"/>
      <c r="Y22" s="118">
        <v>7866.5</v>
      </c>
      <c r="Z22" s="118">
        <v>6629.2</v>
      </c>
      <c r="AA22" s="118">
        <v>14466.6</v>
      </c>
      <c r="AB22" s="118">
        <v>903987.9</v>
      </c>
      <c r="AC22" s="118">
        <v>85</v>
      </c>
      <c r="AD22" s="118">
        <f>795.6+238.7</f>
        <v>1034.3</v>
      </c>
      <c r="AE22" s="118">
        <v>303039.5</v>
      </c>
      <c r="AF22" s="118"/>
      <c r="AG22" s="118">
        <v>1282903.8999999999</v>
      </c>
      <c r="AH22" s="118"/>
      <c r="AI22" s="118"/>
      <c r="AJ22" s="118"/>
      <c r="AK22" s="118"/>
      <c r="AL22" s="118">
        <v>800.2</v>
      </c>
      <c r="AM22" s="118">
        <v>7000</v>
      </c>
      <c r="AN22" s="118">
        <v>29500</v>
      </c>
      <c r="AO22" s="118">
        <v>12394.7</v>
      </c>
      <c r="AP22" s="118">
        <v>6051.3</v>
      </c>
      <c r="AQ22" s="118">
        <v>308.10000000000002</v>
      </c>
      <c r="AR22" s="118">
        <v>3823981.1</v>
      </c>
      <c r="AS22" s="126">
        <v>11479673.6</v>
      </c>
      <c r="AT22" s="118">
        <f>37726.3+11317.9</f>
        <v>49044.200000000004</v>
      </c>
      <c r="AU22" s="118"/>
      <c r="AV22" s="118"/>
      <c r="AW22" s="118">
        <v>5014.6000000000004</v>
      </c>
      <c r="AX22" s="118">
        <v>998586.2</v>
      </c>
      <c r="AY22" s="118">
        <v>2359.6</v>
      </c>
      <c r="AZ22" s="118">
        <f>4317.9+1295.4</f>
        <v>5613.2999999999993</v>
      </c>
      <c r="BA22" s="118">
        <v>948.1</v>
      </c>
      <c r="BB22" s="118">
        <v>14972.3</v>
      </c>
      <c r="BC22" s="118">
        <f>44869.4+13460.8</f>
        <v>58330.2</v>
      </c>
      <c r="BD22" s="118"/>
      <c r="BE22" s="118">
        <v>802.8</v>
      </c>
      <c r="BF22" s="118"/>
      <c r="BG22" s="118">
        <v>72445.7</v>
      </c>
      <c r="BH22" s="118">
        <f>1198.4+3994.7</f>
        <v>5193.1000000000004</v>
      </c>
      <c r="BI22" s="118">
        <v>2525.4</v>
      </c>
      <c r="BJ22" s="118">
        <f>6604.8+22015.9</f>
        <v>28620.7</v>
      </c>
      <c r="BK22" s="118"/>
      <c r="BL22" s="118">
        <v>28375.9</v>
      </c>
      <c r="BM22" s="118"/>
      <c r="BN22" s="118">
        <v>3811.4</v>
      </c>
      <c r="BO22" s="118"/>
      <c r="BP22" s="118"/>
      <c r="BQ22" s="118">
        <v>27663.1</v>
      </c>
      <c r="BR22" s="118">
        <v>875</v>
      </c>
      <c r="BS22" s="118">
        <v>14514.2</v>
      </c>
      <c r="BT22" s="118">
        <v>2221.1999999999998</v>
      </c>
      <c r="BU22" s="118"/>
      <c r="BV22" s="118">
        <v>31933.599999999999</v>
      </c>
      <c r="BW22" s="118">
        <v>609.4</v>
      </c>
      <c r="BX22" s="118"/>
      <c r="BY22" s="118"/>
      <c r="BZ22" s="118"/>
      <c r="CA22" s="118">
        <v>2577.6</v>
      </c>
      <c r="CB22" s="118"/>
      <c r="CC22" s="118">
        <v>8626.1</v>
      </c>
      <c r="CD22" s="118"/>
      <c r="CE22" s="118"/>
      <c r="CF22" s="118"/>
      <c r="CG22" s="118">
        <v>2561.8000000000002</v>
      </c>
      <c r="CH22" s="118">
        <v>109577.4</v>
      </c>
      <c r="CI22" s="118"/>
      <c r="CJ22" s="118">
        <f>214821.9+337618+100000</f>
        <v>652439.9</v>
      </c>
      <c r="CK22" s="118"/>
      <c r="CL22" s="118">
        <v>87000</v>
      </c>
      <c r="CM22" s="118">
        <f>194754.5+3811989.9+1058279.3</f>
        <v>5065023.7</v>
      </c>
      <c r="CN22" s="118"/>
      <c r="CO22" s="118"/>
      <c r="CP22" s="118">
        <f>1038692.7+479640.9</f>
        <v>1518333.6</v>
      </c>
      <c r="CQ22" s="118">
        <v>1568.8</v>
      </c>
      <c r="CR22" s="118">
        <v>413.5</v>
      </c>
      <c r="CS22" s="118">
        <v>5079.3</v>
      </c>
      <c r="CT22" s="118"/>
      <c r="CU22" s="118"/>
      <c r="CV22" s="118">
        <f>1077.2+323.2</f>
        <v>1400.4</v>
      </c>
      <c r="CW22" s="118">
        <v>49257.599999999999</v>
      </c>
      <c r="CX22" s="118">
        <v>432.5</v>
      </c>
      <c r="CY22" s="118">
        <v>308949.90000000002</v>
      </c>
      <c r="CZ22" s="118"/>
      <c r="DA22" s="118">
        <v>13500</v>
      </c>
      <c r="DB22" s="118"/>
      <c r="DC22" s="118"/>
      <c r="DD22" s="118"/>
      <c r="DE22" s="118">
        <v>16083.8</v>
      </c>
      <c r="DF22" s="118"/>
      <c r="DG22" s="118"/>
      <c r="DH22" s="118">
        <v>21014.6</v>
      </c>
      <c r="DI22" s="118">
        <f>13393.7+4018.1</f>
        <v>17411.8</v>
      </c>
      <c r="DJ22" s="118">
        <v>237.5</v>
      </c>
      <c r="DK22" s="118">
        <v>13384.3</v>
      </c>
      <c r="DL22" s="118">
        <v>4818.8999999999996</v>
      </c>
      <c r="DM22" s="118">
        <f>5400.5+1804.7</f>
        <v>7205.2</v>
      </c>
      <c r="DN22" s="118"/>
      <c r="DO22" s="118">
        <v>6567.3</v>
      </c>
      <c r="DP22" s="118"/>
      <c r="DQ22" s="118"/>
      <c r="DR22" s="118">
        <v>4533.8</v>
      </c>
      <c r="DS22" s="118">
        <v>500.6</v>
      </c>
      <c r="DT22" s="118"/>
      <c r="DU22" s="118">
        <v>1441.6</v>
      </c>
      <c r="DV22" s="118"/>
      <c r="DW22" s="118">
        <v>323.10000000000002</v>
      </c>
      <c r="DX22" s="118">
        <f>8904.7+2671.4</f>
        <v>11576.1</v>
      </c>
      <c r="DY22" s="118">
        <v>3966.2</v>
      </c>
      <c r="DZ22" s="118">
        <f>16956.9+44369.2</f>
        <v>61326.1</v>
      </c>
      <c r="EA22" s="118">
        <v>14585.2</v>
      </c>
      <c r="EB22" s="118">
        <v>95269.9</v>
      </c>
      <c r="EC22" s="118">
        <v>1360</v>
      </c>
      <c r="ED22" s="118">
        <v>200</v>
      </c>
      <c r="EE22" s="118"/>
      <c r="EF22" s="118"/>
      <c r="EG22" s="118"/>
      <c r="EH22" s="118">
        <v>500</v>
      </c>
      <c r="EI22" s="118"/>
      <c r="EJ22" s="118"/>
      <c r="EK22" s="118"/>
      <c r="EL22" s="118">
        <v>44275.3</v>
      </c>
      <c r="EM22" s="118">
        <f>1498+449.4</f>
        <v>1947.4</v>
      </c>
      <c r="EN22" s="118">
        <f>1135665.3+7042021.7</f>
        <v>8177687</v>
      </c>
      <c r="EO22" s="118"/>
      <c r="EP22" s="118">
        <f>5500+23500</f>
        <v>29000</v>
      </c>
      <c r="EQ22" s="118">
        <f>4648.6+1472.5</f>
        <v>6121.1</v>
      </c>
      <c r="ER22" s="118">
        <f>10351.5+34505</f>
        <v>44856.5</v>
      </c>
      <c r="ES22" s="118">
        <f>5045+1513.5</f>
        <v>6558.5</v>
      </c>
      <c r="ET22" s="118">
        <v>1325.6</v>
      </c>
      <c r="EU22" s="118">
        <v>21550</v>
      </c>
      <c r="EV22" s="118"/>
      <c r="EW22" s="118">
        <v>16698.099999999999</v>
      </c>
      <c r="EX22" s="118"/>
      <c r="EY22" s="118">
        <f>9006.6+239310.6</f>
        <v>248317.2</v>
      </c>
      <c r="EZ22" s="118">
        <v>8557</v>
      </c>
      <c r="FA22" s="118">
        <f>7079.6+128889.8+820545.2</f>
        <v>956514.6</v>
      </c>
      <c r="FB22" s="118">
        <f>116178.1+34845.4</f>
        <v>151023.5</v>
      </c>
      <c r="FC22" s="118"/>
      <c r="FD22" s="118">
        <v>197.8</v>
      </c>
      <c r="FE22" s="118"/>
      <c r="FF22" s="118">
        <v>2373.4</v>
      </c>
      <c r="FG22" s="118"/>
      <c r="FH22" s="118">
        <v>9603.7999999999993</v>
      </c>
      <c r="FI22" s="118">
        <v>36584.300000000003</v>
      </c>
      <c r="FJ22" s="118"/>
      <c r="FK22" s="118"/>
      <c r="FL22" s="118"/>
      <c r="FM22" s="118"/>
      <c r="FN22" s="118">
        <v>160</v>
      </c>
      <c r="FO22" s="118"/>
      <c r="FP22" s="118">
        <v>267.3</v>
      </c>
      <c r="FQ22" s="118"/>
      <c r="FR22" s="118">
        <f>9960678.1+3687550.9</f>
        <v>13648229</v>
      </c>
      <c r="FS22" s="118">
        <f>143659.8+43097.9</f>
        <v>186757.69999999998</v>
      </c>
      <c r="FT22" s="118">
        <f>1078923.6+350041.3</f>
        <v>1428964.9000000001</v>
      </c>
      <c r="FU22" s="118"/>
      <c r="FV22" s="118">
        <v>55520.3</v>
      </c>
      <c r="FW22" s="118">
        <v>102162.7</v>
      </c>
      <c r="FX22" s="118">
        <v>282000</v>
      </c>
      <c r="FY22" s="118"/>
      <c r="FZ22" s="118"/>
      <c r="GA22" s="118"/>
      <c r="GB22" s="118"/>
      <c r="GC22" s="118"/>
      <c r="GD22" s="118"/>
      <c r="GE22" s="118">
        <v>5991.6</v>
      </c>
      <c r="GF22" s="118">
        <v>40568.5</v>
      </c>
      <c r="GG22" s="118">
        <v>24354.7</v>
      </c>
      <c r="GH22" s="118">
        <v>5569.5</v>
      </c>
      <c r="GI22" s="118">
        <v>15000</v>
      </c>
      <c r="GJ22" s="118"/>
      <c r="GK22" s="118"/>
      <c r="GL22" s="118"/>
      <c r="GM22" s="118"/>
      <c r="GN22" s="118"/>
      <c r="GO22" s="118"/>
      <c r="GP22" s="118">
        <f>901.8+31020.6</f>
        <v>31922.399999999998</v>
      </c>
      <c r="GQ22" s="118">
        <v>17723.7</v>
      </c>
      <c r="GR22" s="118"/>
      <c r="GS22" s="118"/>
      <c r="GT22" s="118"/>
      <c r="GU22" s="118"/>
      <c r="GV22" s="118"/>
      <c r="GW22" s="118"/>
      <c r="GX22" s="118">
        <v>7311.8</v>
      </c>
      <c r="GY22" s="118"/>
      <c r="GZ22" s="118">
        <v>284.39999999999998</v>
      </c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>
        <v>6551.2</v>
      </c>
      <c r="HL22" s="118"/>
      <c r="HM22" s="118"/>
      <c r="HN22" s="118"/>
      <c r="HO22" s="118"/>
      <c r="HP22" s="118"/>
      <c r="HQ22" s="118">
        <v>2600</v>
      </c>
      <c r="HR22" s="118"/>
      <c r="HS22" s="118"/>
      <c r="HT22" s="118"/>
      <c r="HU22" s="118">
        <v>1828.6</v>
      </c>
      <c r="HV22" s="118">
        <f>39846.1+11953.8</f>
        <v>51799.899999999994</v>
      </c>
      <c r="HW22" s="118">
        <v>255.9</v>
      </c>
      <c r="HX22" s="118">
        <f>1487.7+4958.9</f>
        <v>6446.5999999999995</v>
      </c>
      <c r="HY22" s="118"/>
      <c r="HZ22" s="118"/>
      <c r="IA22" s="118"/>
      <c r="IB22" s="118">
        <v>74686.100000000006</v>
      </c>
      <c r="IC22" s="118"/>
      <c r="ID22" s="118"/>
      <c r="IE22" s="118"/>
      <c r="IF22" s="118"/>
      <c r="IG22" s="118"/>
      <c r="IH22" s="118"/>
      <c r="II22" s="118"/>
      <c r="IJ22" s="118"/>
      <c r="IK22" s="118">
        <v>1197.9000000000001</v>
      </c>
      <c r="IL22" s="118"/>
      <c r="IM22" s="118">
        <v>3425.8</v>
      </c>
      <c r="IN22" s="118"/>
      <c r="IO22" s="118"/>
      <c r="IP22" s="118">
        <v>17725.7</v>
      </c>
      <c r="IQ22" s="118"/>
      <c r="IR22" s="118">
        <f>25928.9+86429.9</f>
        <v>112358.79999999999</v>
      </c>
      <c r="IS22" s="118">
        <f>12264.1+3679.2</f>
        <v>15943.3</v>
      </c>
      <c r="IT22" s="118">
        <v>298.5</v>
      </c>
      <c r="IU22" s="118"/>
      <c r="IV22" s="118"/>
      <c r="IW22" s="118">
        <f>3938+16998.4</f>
        <v>20936.400000000001</v>
      </c>
      <c r="IX22" s="118">
        <v>3153.7</v>
      </c>
      <c r="IY22" s="118"/>
      <c r="IZ22" s="118"/>
      <c r="JA22" s="118"/>
      <c r="JB22" s="118"/>
      <c r="JC22" s="118"/>
      <c r="JD22" s="118"/>
      <c r="JE22" s="118"/>
      <c r="JF22" s="118"/>
      <c r="JG22" s="118"/>
      <c r="JH22" s="118"/>
      <c r="JI22" s="118"/>
      <c r="JJ22" s="118">
        <v>13866.4</v>
      </c>
      <c r="JK22" s="118"/>
      <c r="JL22" s="118">
        <f>1395.5+700</f>
        <v>2095.5</v>
      </c>
      <c r="JM22" s="118">
        <v>138485.20000000001</v>
      </c>
      <c r="JN22" s="118"/>
      <c r="JO22" s="118"/>
      <c r="JP22" s="118"/>
      <c r="JQ22" s="118"/>
      <c r="JR22" s="118"/>
      <c r="JS22" s="118"/>
      <c r="JT22" s="118"/>
      <c r="JU22" s="118">
        <v>23615.7</v>
      </c>
      <c r="JV22" s="118"/>
      <c r="JW22" s="118">
        <f>726935.4+174005.9</f>
        <v>900941.3</v>
      </c>
      <c r="JX22" s="118"/>
      <c r="JY22" s="118"/>
      <c r="JZ22" s="118"/>
      <c r="KA22" s="118"/>
      <c r="KB22" s="118"/>
      <c r="KC22" s="118"/>
      <c r="KD22" s="118"/>
      <c r="KE22" s="118"/>
      <c r="KF22" s="118"/>
      <c r="KG22" s="118">
        <f>98863.7+29659.1</f>
        <v>128522.79999999999</v>
      </c>
      <c r="KH22" s="118"/>
      <c r="KI22" s="118">
        <v>22263.5</v>
      </c>
      <c r="KJ22" s="118">
        <v>2865.2</v>
      </c>
      <c r="KK22" s="118"/>
      <c r="KL22" s="118"/>
      <c r="KM22" s="118">
        <v>2252.9</v>
      </c>
      <c r="KN22" s="118"/>
      <c r="KO22" s="118"/>
      <c r="KP22" s="118"/>
      <c r="KQ22" s="118"/>
      <c r="KR22" s="118"/>
      <c r="KS22" s="118"/>
      <c r="KT22" s="118">
        <v>670.6</v>
      </c>
      <c r="KU22" s="118"/>
      <c r="KV22" s="118"/>
      <c r="KW22" s="118">
        <v>31112.3</v>
      </c>
      <c r="KX22" s="118"/>
      <c r="KY22" s="118"/>
      <c r="KZ22" s="118"/>
      <c r="LA22" s="118"/>
      <c r="LB22" s="118"/>
      <c r="LC22" s="118"/>
      <c r="LD22" s="118"/>
      <c r="LE22" s="118"/>
      <c r="LF22" s="118">
        <v>3214210.3</v>
      </c>
      <c r="LG22" s="118"/>
      <c r="LH22" s="118"/>
      <c r="LI22" s="118"/>
      <c r="LJ22" s="118"/>
      <c r="LK22" s="118"/>
      <c r="LL22" s="118"/>
      <c r="LM22" s="118"/>
      <c r="LN22" s="118"/>
      <c r="LO22" s="118"/>
      <c r="LP22" s="118"/>
      <c r="LQ22" s="118"/>
      <c r="LR22" s="118">
        <v>5981.1</v>
      </c>
      <c r="LS22" s="118"/>
      <c r="LT22" s="118"/>
      <c r="LU22" s="118"/>
      <c r="LV22" s="118"/>
      <c r="LW22" s="118"/>
      <c r="LX22" s="118"/>
      <c r="LY22" s="118"/>
      <c r="LZ22" s="118"/>
      <c r="MA22" s="118"/>
      <c r="MB22" s="118"/>
      <c r="MC22" s="118"/>
      <c r="MD22" s="118"/>
      <c r="ME22" s="118">
        <v>20417.7</v>
      </c>
      <c r="MF22" s="118">
        <v>65</v>
      </c>
      <c r="MG22" s="118">
        <v>277.3</v>
      </c>
      <c r="MH22" s="118"/>
      <c r="MI22" s="118">
        <f>1049925.8+328554.1</f>
        <v>1378479.9</v>
      </c>
      <c r="MJ22" s="118"/>
      <c r="MK22" s="118"/>
      <c r="ML22" s="118">
        <v>4718796.7</v>
      </c>
      <c r="MM22" s="118"/>
      <c r="MN22" s="118"/>
      <c r="MO22" s="118"/>
      <c r="MP22" s="118"/>
      <c r="MQ22" s="118"/>
      <c r="MR22" s="118"/>
      <c r="MS22" s="118">
        <v>6812.4</v>
      </c>
      <c r="MT22" s="118">
        <v>366.8</v>
      </c>
      <c r="MU22" s="118"/>
      <c r="MV22" s="118">
        <f>6556.2+21853.9</f>
        <v>28410.100000000002</v>
      </c>
      <c r="MW22" s="118"/>
      <c r="MX22" s="114"/>
    </row>
    <row r="23" spans="1:362" ht="11.25" customHeight="1" thickBot="1" x14ac:dyDescent="0.25">
      <c r="A23" s="158" t="s">
        <v>526</v>
      </c>
      <c r="B23" s="159"/>
      <c r="C23" s="160">
        <f>SUM(D24:MW24)</f>
        <v>6335816.9899999993</v>
      </c>
      <c r="D23" s="118"/>
      <c r="E23" s="118"/>
      <c r="F23" s="118"/>
      <c r="G23" s="118">
        <v>3942.6</v>
      </c>
      <c r="H23" s="118"/>
      <c r="I23" s="118">
        <v>190.4</v>
      </c>
      <c r="J23" s="118">
        <f>36750.5+9192.1+963.8+490.4</f>
        <v>47396.800000000003</v>
      </c>
      <c r="K23" s="118"/>
      <c r="L23" s="118"/>
      <c r="M23" s="118"/>
      <c r="N23" s="118">
        <f>193.9+715.4+57.7+187+54.9+8.1+4.2</f>
        <v>1221.2</v>
      </c>
      <c r="O23" s="118"/>
      <c r="P23" s="118">
        <v>87.4</v>
      </c>
      <c r="Q23" s="118">
        <v>1858.5</v>
      </c>
      <c r="R23" s="118"/>
      <c r="S23" s="118">
        <f>340.5+18323.2</f>
        <v>18663.7</v>
      </c>
      <c r="T23" s="118">
        <f>8140.8+10128.4+569.1+5677.2+31930.4+9282.4+9275.4+2935.1</f>
        <v>77938.8</v>
      </c>
      <c r="U23" s="118">
        <v>63.6</v>
      </c>
      <c r="V23" s="118">
        <f>99344.6+186033.1+38625.5+1930.4</f>
        <v>325933.60000000003</v>
      </c>
      <c r="W23" s="118">
        <f>3751.6+321+249.6+931+3762.3</f>
        <v>9015.5</v>
      </c>
      <c r="X23" s="118"/>
      <c r="Y23" s="118"/>
      <c r="Z23" s="118"/>
      <c r="AA23" s="118"/>
      <c r="AB23" s="118"/>
      <c r="AC23" s="118"/>
      <c r="AD23" s="118">
        <f>898.2+139.5+963.2+7.1</f>
        <v>2008</v>
      </c>
      <c r="AE23" s="118"/>
      <c r="AF23" s="118"/>
      <c r="AG23" s="118"/>
      <c r="AH23" s="118">
        <v>387.1</v>
      </c>
      <c r="AI23" s="118">
        <f>3264.4+766.5</f>
        <v>4030.9</v>
      </c>
      <c r="AJ23" s="118"/>
      <c r="AK23" s="118"/>
      <c r="AL23" s="118">
        <f>2280.2+1943.4</f>
        <v>4223.6000000000004</v>
      </c>
      <c r="AM23" s="118">
        <v>511.4</v>
      </c>
      <c r="AN23" s="118">
        <v>98.3</v>
      </c>
      <c r="AO23" s="118">
        <v>4134.1000000000004</v>
      </c>
      <c r="AP23" s="118">
        <f>1091+586</f>
        <v>1677</v>
      </c>
      <c r="AQ23" s="118"/>
      <c r="AR23" s="118"/>
      <c r="AS23" s="118">
        <f>600.8+12578.7+13731.9+19640+789.1</f>
        <v>47340.5</v>
      </c>
      <c r="AT23" s="118">
        <v>4124</v>
      </c>
      <c r="AU23" s="118"/>
      <c r="AV23" s="118"/>
      <c r="AW23" s="118">
        <f>1217.5+4645.2+2470.1+307+3063.1+831.1+2446.2+735.8+1256.5</f>
        <v>16972.5</v>
      </c>
      <c r="AX23" s="118">
        <f>2694.8+2015.8+17429.3+2306.5+2047.8+3450.2+18747.4+848.7+2058.2+2549.2+12476.8+1620.6+386.2+251.3+853+11</f>
        <v>69746.8</v>
      </c>
      <c r="AY23" s="118"/>
      <c r="AZ23" s="118">
        <f>2200.9+676.9</f>
        <v>2877.8</v>
      </c>
      <c r="BA23" s="118"/>
      <c r="BB23" s="118">
        <f>1191.75+1065</f>
        <v>2256.75</v>
      </c>
      <c r="BC23" s="118">
        <f>1578.32+4613.53+3325.6</f>
        <v>9517.4499999999989</v>
      </c>
      <c r="BD23" s="118">
        <v>77.92</v>
      </c>
      <c r="BE23" s="118">
        <v>683.52</v>
      </c>
      <c r="BF23" s="118">
        <v>178.9</v>
      </c>
      <c r="BG23" s="118">
        <f>401+444+3980.65+2325.73+547.51+7287.08+1068.85+4381.35</f>
        <v>20436.169999999998</v>
      </c>
      <c r="BH23" s="118">
        <f>5102.22+879.5</f>
        <v>5981.72</v>
      </c>
      <c r="BI23" s="118">
        <v>2266.5</v>
      </c>
      <c r="BJ23" s="118">
        <f>8463.07+1366.3+19.2</f>
        <v>9848.57</v>
      </c>
      <c r="BK23" s="118"/>
      <c r="BL23" s="118">
        <f>2216.2+2386.5+6852.8+1412.8+576+1045.4+1541.7+4169.2</f>
        <v>20200.599999999999</v>
      </c>
      <c r="BM23" s="118"/>
      <c r="BN23" s="118">
        <v>823.65</v>
      </c>
      <c r="BO23" s="118"/>
      <c r="BP23" s="118"/>
      <c r="BQ23" s="118">
        <v>769.5</v>
      </c>
      <c r="BR23" s="118">
        <f>214.2+228.48</f>
        <v>442.67999999999995</v>
      </c>
      <c r="BS23" s="118">
        <f>21072+463.55+145</f>
        <v>21680.55</v>
      </c>
      <c r="BT23" s="118">
        <v>608.61</v>
      </c>
      <c r="BU23" s="118"/>
      <c r="BV23" s="118">
        <v>6504.5249999999996</v>
      </c>
      <c r="BW23" s="118">
        <f>162.55+87.78+71.522</f>
        <v>321.85200000000003</v>
      </c>
      <c r="BX23" s="118">
        <v>5758.6620000000003</v>
      </c>
      <c r="BY23" s="118">
        <v>378.41199999999998</v>
      </c>
      <c r="BZ23" s="118"/>
      <c r="CA23" s="118"/>
      <c r="CB23" s="118"/>
      <c r="CC23" s="118">
        <v>24.24</v>
      </c>
      <c r="CD23" s="118"/>
      <c r="CE23" s="118">
        <v>1660.2</v>
      </c>
      <c r="CF23" s="118">
        <f>32.2+224.061</f>
        <v>256.26100000000002</v>
      </c>
      <c r="CG23" s="118">
        <f>955.02+854.992+1022.245+121.352+136.768+22.1</f>
        <v>3112.4769999999999</v>
      </c>
      <c r="CH23" s="118">
        <f>3459.215+17815.85</f>
        <v>21275.064999999999</v>
      </c>
      <c r="CI23" s="118">
        <f>25193.64+21310.196+65185.286+7565.734+921.735+44524.933</f>
        <v>164701.524</v>
      </c>
      <c r="CJ23" s="118"/>
      <c r="CK23" s="118">
        <f>11963.12+8702.544+10447.762+13703.035+1904.835+5490.14+3511.49+1668.614+337.965+401.84+46506.074+16855.313+34155.933+12923.354+5378.815+5197.739</f>
        <v>179148.57299999997</v>
      </c>
      <c r="CL23" s="118">
        <v>1944.6610000000001</v>
      </c>
      <c r="CM23" s="118">
        <f>857.612+10400.364+429.357+891.771+47.136+1114.136+499.933+132.839</f>
        <v>14373.148000000001</v>
      </c>
      <c r="CN23" s="118"/>
      <c r="CO23" s="118">
        <f>73.74+46.7+4273+4635.75</f>
        <v>9029.1899999999987</v>
      </c>
      <c r="CP23" s="118"/>
      <c r="CQ23" s="118">
        <v>2029</v>
      </c>
      <c r="CR23" s="118"/>
      <c r="CS23" s="118"/>
      <c r="CT23" s="118"/>
      <c r="CU23" s="118">
        <v>531.78499999999997</v>
      </c>
      <c r="CV23" s="118">
        <v>2213.6</v>
      </c>
      <c r="CW23" s="118"/>
      <c r="CX23" s="118">
        <v>35.71</v>
      </c>
      <c r="CY23" s="118"/>
      <c r="CZ23" s="118"/>
      <c r="DA23" s="118"/>
      <c r="DB23" s="118"/>
      <c r="DC23" s="118"/>
      <c r="DD23" s="118">
        <v>5886.0860000000002</v>
      </c>
      <c r="DE23" s="118">
        <v>3132.5340000000001</v>
      </c>
      <c r="DF23" s="118"/>
      <c r="DG23" s="118">
        <v>220.976</v>
      </c>
      <c r="DH23" s="118"/>
      <c r="DI23" s="118">
        <f>1255.481+856.92</f>
        <v>2112.4009999999998</v>
      </c>
      <c r="DJ23" s="118">
        <f>76349.85+47094.3</f>
        <v>123444.15000000001</v>
      </c>
      <c r="DK23" s="118">
        <f>9967.74</f>
        <v>9967.74</v>
      </c>
      <c r="DL23" s="118"/>
      <c r="DM23" s="118"/>
      <c r="DN23" s="118"/>
      <c r="DO23" s="118">
        <f>601.25</f>
        <v>601.25</v>
      </c>
      <c r="DP23" s="118">
        <f>1208.088+1407.294+782.576</f>
        <v>3397.9580000000001</v>
      </c>
      <c r="DQ23" s="118"/>
      <c r="DR23" s="118">
        <f>195.021</f>
        <v>195.02099999999999</v>
      </c>
      <c r="DS23" s="118">
        <f>162.333</f>
        <v>162.333</v>
      </c>
      <c r="DT23" s="118"/>
      <c r="DU23" s="118">
        <f>876.7</f>
        <v>876.7</v>
      </c>
      <c r="DV23" s="118">
        <f>2978.76+1756.23</f>
        <v>4734.99</v>
      </c>
      <c r="DW23" s="118">
        <f>4483.55</f>
        <v>4483.55</v>
      </c>
      <c r="DX23" s="118">
        <v>530.44100000000003</v>
      </c>
      <c r="DY23" s="118"/>
      <c r="DZ23" s="118">
        <f>2944.066+7911.54+10290.254+495.802+100.597</f>
        <v>21742.259000000002</v>
      </c>
      <c r="EA23" s="118">
        <f>2428.356+132</f>
        <v>2560.3560000000002</v>
      </c>
      <c r="EB23" s="118">
        <f>8783.478</f>
        <v>8783.4779999999992</v>
      </c>
      <c r="EC23" s="118"/>
      <c r="ED23" s="118"/>
      <c r="EE23" s="118">
        <f>5960.044</f>
        <v>5960.0439999999999</v>
      </c>
      <c r="EF23" s="118"/>
      <c r="EG23" s="118">
        <f>270.52</f>
        <v>270.52</v>
      </c>
      <c r="EH23" s="118"/>
      <c r="EI23" s="118">
        <f>8785.9+184.238+179.375</f>
        <v>9149.512999999999</v>
      </c>
      <c r="EJ23" s="130">
        <f>57.85</f>
        <v>57.85</v>
      </c>
      <c r="EK23" s="118">
        <f>555.2</f>
        <v>555.20000000000005</v>
      </c>
      <c r="EL23" s="118">
        <f>2128.7+4973.512+3223.83+3214.411+64.921+445.509</f>
        <v>14050.883</v>
      </c>
      <c r="EM23" s="118">
        <f>2385.6+802.475+327.759+968.286</f>
        <v>4484.12</v>
      </c>
      <c r="EN23" s="118"/>
      <c r="EO23" s="118"/>
      <c r="EP23" s="118">
        <f>1070.2+437.7</f>
        <v>1507.9</v>
      </c>
      <c r="EQ23" s="118">
        <f>2259.63</f>
        <v>2259.63</v>
      </c>
      <c r="ER23" s="118">
        <f>2958.093+1665.144+190.346+883.89+1938.662+31.042</f>
        <v>7667.1770000000015</v>
      </c>
      <c r="ES23" s="118">
        <f>4247.042</f>
        <v>4247.0420000000004</v>
      </c>
      <c r="ET23" s="118">
        <f>10.7</f>
        <v>10.7</v>
      </c>
      <c r="EU23" s="118">
        <f>220.524+162.583+583.74+1580.57</f>
        <v>2547.4169999999999</v>
      </c>
      <c r="EV23" s="118"/>
      <c r="EW23" s="118"/>
      <c r="EX23" s="118">
        <f>7458.89</f>
        <v>7458.89</v>
      </c>
      <c r="EY23" s="118">
        <f>13195.244</f>
        <v>13195.244000000001</v>
      </c>
      <c r="EZ23" s="118">
        <f>428.511</f>
        <v>428.51100000000002</v>
      </c>
      <c r="FA23" s="118"/>
      <c r="FB23" s="118"/>
      <c r="FC23" s="118"/>
      <c r="FD23" s="118">
        <f>375.56+195.7</f>
        <v>571.26</v>
      </c>
      <c r="FE23" s="118">
        <f>441.378</f>
        <v>441.37799999999999</v>
      </c>
      <c r="FF23" s="118">
        <f>675.79+1544.474</f>
        <v>2220.2640000000001</v>
      </c>
      <c r="FG23" s="118"/>
      <c r="FH23" s="118">
        <f>5480.811+9879.23</f>
        <v>15360.040999999999</v>
      </c>
      <c r="FI23" s="118">
        <f>1539.33+16953.45+8514.255</f>
        <v>27007.034999999996</v>
      </c>
      <c r="FJ23" s="118">
        <f>254.375+1429.4</f>
        <v>1683.7750000000001</v>
      </c>
      <c r="FK23" s="118"/>
      <c r="FL23" s="118"/>
      <c r="FM23" s="118">
        <f>291.46+757.48+28.435+739.277+705.391+354.936+15.642+1333.43</f>
        <v>4226.0510000000004</v>
      </c>
      <c r="FN23" s="118">
        <f>117.492+2.975</f>
        <v>120.467</v>
      </c>
      <c r="FO23" s="118">
        <f>7225.861+262.758</f>
        <v>7488.6189999999997</v>
      </c>
      <c r="FP23" s="118">
        <f>1296.66</f>
        <v>1296.6600000000001</v>
      </c>
      <c r="FQ23" s="118"/>
      <c r="FR23" s="118"/>
      <c r="FS23" s="118"/>
      <c r="FT23" s="118"/>
      <c r="FU23" s="118"/>
      <c r="FV23" s="118">
        <v>631.29499999999996</v>
      </c>
      <c r="FW23" s="118">
        <f>976.66+1332.076</f>
        <v>2308.7359999999999</v>
      </c>
      <c r="FX23" s="118">
        <f>657.68</f>
        <v>657.68</v>
      </c>
      <c r="FY23" s="118">
        <f>7746.228+7340.46+6061.314+483.83+1001.21</f>
        <v>22633.042000000001</v>
      </c>
      <c r="FZ23" s="118"/>
      <c r="GA23" s="118"/>
      <c r="GB23" s="118"/>
      <c r="GC23" s="118"/>
      <c r="GD23" s="118"/>
      <c r="GE23" s="118"/>
      <c r="GF23" s="118">
        <v>665.69</v>
      </c>
      <c r="GG23" s="118"/>
      <c r="GH23" s="118"/>
      <c r="GI23" s="118"/>
      <c r="GJ23" s="118"/>
      <c r="GK23" s="118"/>
      <c r="GL23" s="118"/>
      <c r="GM23" s="118"/>
      <c r="GN23" s="118"/>
      <c r="GO23" s="118">
        <f>4219.304+3291.182+2222.436+2579.253+569.884+386.93</f>
        <v>13268.989000000001</v>
      </c>
      <c r="GP23" s="118"/>
      <c r="GQ23" s="118"/>
      <c r="GR23" s="119">
        <f>3240.586+7191.706</f>
        <v>10432.291999999999</v>
      </c>
      <c r="GS23" s="118">
        <f>693.864+544.973</f>
        <v>1238.837</v>
      </c>
      <c r="GT23" s="118"/>
      <c r="GU23" s="118">
        <f>3894+2272+676.75+401.783</f>
        <v>7244.5330000000004</v>
      </c>
      <c r="GV23" s="118"/>
      <c r="GW23" s="118"/>
      <c r="GX23" s="118">
        <f>947.76+1141.62</f>
        <v>2089.38</v>
      </c>
      <c r="GY23" s="118">
        <v>1342.326</v>
      </c>
      <c r="GZ23" s="118"/>
      <c r="HA23" s="118"/>
      <c r="HB23" s="118">
        <v>8841.9670000000006</v>
      </c>
      <c r="HC23" s="118"/>
      <c r="HD23" s="118"/>
      <c r="HE23" s="118"/>
      <c r="HF23" s="118">
        <f>10.878+231.153</f>
        <v>242.03100000000001</v>
      </c>
      <c r="HG23" s="118">
        <v>1097.0999999999999</v>
      </c>
      <c r="HH23" s="118"/>
      <c r="HI23" s="118"/>
      <c r="HJ23" s="118"/>
      <c r="HK23" s="118">
        <f>2763.9+1275.58</f>
        <v>4039.48</v>
      </c>
      <c r="HL23" s="118"/>
      <c r="HM23" s="118"/>
      <c r="HN23" s="118">
        <v>18531.887999999999</v>
      </c>
      <c r="HO23" s="118">
        <f>1061.707+1194.571</f>
        <v>2256.2780000000002</v>
      </c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>
        <v>7971</v>
      </c>
      <c r="IA23" s="118">
        <f>10653.249+4811.398+2806.767</f>
        <v>18271.414000000001</v>
      </c>
      <c r="IB23" s="118">
        <v>1916.623</v>
      </c>
      <c r="IC23" s="118">
        <f>2091.03+1603.989+1580.495+2481.805+585.21+364.57+60.071+2844.066+53.857</f>
        <v>11665.092999999997</v>
      </c>
      <c r="ID23" s="118"/>
      <c r="IE23" s="118"/>
      <c r="IF23" s="118">
        <f>2372.2+2071.5</f>
        <v>4443.7</v>
      </c>
      <c r="IG23" s="118"/>
      <c r="IH23" s="118"/>
      <c r="II23" s="118">
        <f>109.087+50.804</f>
        <v>159.89100000000002</v>
      </c>
      <c r="IJ23" s="118">
        <v>4393.7929999999997</v>
      </c>
      <c r="IK23" s="118"/>
      <c r="IL23" s="118"/>
      <c r="IM23" s="118">
        <f>163.624+1617.818+2168.89</f>
        <v>3950.3319999999999</v>
      </c>
      <c r="IN23" s="118"/>
      <c r="IO23" s="118">
        <f>142.61+2570.05+133.6+8959</f>
        <v>11805.26</v>
      </c>
      <c r="IP23" s="131">
        <f>3941.34+845.55+6515.95+1193.195</f>
        <v>12496.035</v>
      </c>
      <c r="IQ23" s="118">
        <f>512.64</f>
        <v>512.64</v>
      </c>
      <c r="IR23" s="118">
        <f>879+2057.463+11125.825</f>
        <v>14062.288</v>
      </c>
      <c r="IS23" s="118"/>
      <c r="IT23" s="118"/>
      <c r="IU23" s="118"/>
      <c r="IV23" s="118"/>
      <c r="IW23" s="118"/>
      <c r="IX23" s="118">
        <v>7006.92</v>
      </c>
      <c r="IY23" s="118"/>
      <c r="IZ23" s="118">
        <f>612.425</f>
        <v>612.42499999999995</v>
      </c>
      <c r="JA23" s="118">
        <f>2627.88</f>
        <v>2627.88</v>
      </c>
      <c r="JB23" s="118"/>
      <c r="JC23" s="118"/>
      <c r="JD23" s="118">
        <f>8179.448+4382.622+607.492+4534.495</f>
        <v>17704.057000000001</v>
      </c>
      <c r="JE23" s="118">
        <f>5008.755+5646.75</f>
        <v>10655.505000000001</v>
      </c>
      <c r="JF23" s="118">
        <f>1284+66</f>
        <v>1350</v>
      </c>
      <c r="JG23" s="118"/>
      <c r="JH23" s="118">
        <f>4825.6</f>
        <v>4825.6000000000004</v>
      </c>
      <c r="JI23" s="118"/>
      <c r="JJ23" s="118"/>
      <c r="JK23" s="118"/>
      <c r="JL23" s="118">
        <f>1228.54+409.984+760.6</f>
        <v>2399.1239999999998</v>
      </c>
      <c r="JM23" s="118"/>
      <c r="JN23" s="118">
        <v>145596.77100000001</v>
      </c>
      <c r="JO23" s="118"/>
      <c r="JP23" s="118"/>
      <c r="JQ23" s="118">
        <f>10485.975+5240.62+3647.9+5342.174+1473.19+6282.895+158.85+5389+6337.245+1785.5+2347.128+5914.458+95.59+6214.84+3042.418</f>
        <v>63757.782999999989</v>
      </c>
      <c r="JR23" s="118"/>
      <c r="JS23" s="118"/>
      <c r="JT23" s="118">
        <f>25567.269+13210.404+5215.526+9138.032</f>
        <v>53131.231</v>
      </c>
      <c r="JU23" s="118"/>
      <c r="JV23" s="118">
        <v>2477.8000000000002</v>
      </c>
      <c r="JW23" s="118"/>
      <c r="JX23" s="132">
        <f>1419.1+7237.446+465.884+203.689</f>
        <v>9326.1190000000006</v>
      </c>
      <c r="JY23" s="118"/>
      <c r="JZ23" s="118"/>
      <c r="KA23" s="118"/>
      <c r="KB23" s="118">
        <v>8716.44</v>
      </c>
      <c r="KC23" s="118"/>
      <c r="KD23" s="118"/>
      <c r="KE23" s="118"/>
      <c r="KF23" s="118">
        <v>307.39999999999998</v>
      </c>
      <c r="KG23" s="118">
        <f>19123.493+11627.424+6026.668</f>
        <v>36777.584999999999</v>
      </c>
      <c r="KH23" s="118"/>
      <c r="KI23" s="118">
        <v>2084.6</v>
      </c>
      <c r="KJ23" s="118">
        <v>763.65499999999997</v>
      </c>
      <c r="KK23" s="118"/>
      <c r="KL23" s="118">
        <f>578.77+42.57</f>
        <v>621.34</v>
      </c>
      <c r="KM23" s="118">
        <v>1492.7</v>
      </c>
      <c r="KN23" s="118"/>
      <c r="KO23" s="118"/>
      <c r="KP23" s="118"/>
      <c r="KQ23" s="118">
        <v>6358.25</v>
      </c>
      <c r="KR23" s="118">
        <f>470+10030</f>
        <v>10500</v>
      </c>
      <c r="KS23" s="118"/>
      <c r="KT23" s="118"/>
      <c r="KU23" s="118"/>
      <c r="KV23" s="118"/>
      <c r="KW23" s="118">
        <f>209.59+323.262+37629.4+58795.243</f>
        <v>96957.494999999995</v>
      </c>
      <c r="KX23" s="118"/>
      <c r="KY23" s="118">
        <f>1494.7+634.9+1117.14+242.7+1972+127.8</f>
        <v>5589.24</v>
      </c>
      <c r="KZ23" s="118"/>
      <c r="LA23" s="118"/>
      <c r="LB23" s="118"/>
      <c r="LC23" s="118"/>
      <c r="LD23" s="118"/>
      <c r="LE23" s="118"/>
      <c r="LF23" s="118">
        <f>46625.093+26387.222+83049.637+122139.148+11827.088+22113.865+1059.149+14961.485+3297.139+8166.944+59889.903+74773.655+1643.04+111608+16129.036+13856.021+296312.405+74320.176+75364.448+73417.599</f>
        <v>1136941.0529999998</v>
      </c>
      <c r="LG23" s="118"/>
      <c r="LH23" s="118"/>
      <c r="LI23" s="118"/>
      <c r="LJ23" s="118"/>
      <c r="LK23" s="118"/>
      <c r="LL23" s="118"/>
      <c r="LM23" s="118">
        <f>1045.346+13.24</f>
        <v>1058.586</v>
      </c>
      <c r="LN23" s="118"/>
      <c r="LO23" s="118"/>
      <c r="LP23" s="118"/>
      <c r="LQ23" s="118"/>
      <c r="LR23" s="118">
        <f>177.956+99.803+712.885+8136.159+4948.266+2242.248</f>
        <v>16317.316999999999</v>
      </c>
      <c r="LS23" s="118"/>
      <c r="LT23" s="118"/>
      <c r="LU23" s="118">
        <f>833.35</f>
        <v>833.35</v>
      </c>
      <c r="LV23" s="118">
        <f>1816.645+1832.316+590.2+2498.63+4800.28</f>
        <v>11538.071</v>
      </c>
      <c r="LW23" s="118">
        <f>3370.4+3649+14048.244+14802.298+3194.772+1006.572</f>
        <v>40071.286</v>
      </c>
      <c r="LX23" s="118">
        <f>2529.671+822.028</f>
        <v>3351.6989999999996</v>
      </c>
      <c r="LY23" s="118">
        <f>7455.33</f>
        <v>7455.33</v>
      </c>
      <c r="LZ23" s="118"/>
      <c r="MA23" s="118"/>
      <c r="MB23" s="118">
        <f>30767.24+5114.43+1633.58</f>
        <v>37515.25</v>
      </c>
      <c r="MC23" s="118">
        <f>7271+451.2+1123+701.3</f>
        <v>9546.5</v>
      </c>
      <c r="MD23" s="118">
        <f>6526.997+11337.48</f>
        <v>17864.476999999999</v>
      </c>
      <c r="ME23" s="118">
        <f>823.5</f>
        <v>823.5</v>
      </c>
      <c r="MF23" s="118">
        <f>200.24</f>
        <v>200.24</v>
      </c>
      <c r="MG23" s="118">
        <f>2306.6</f>
        <v>2306.6</v>
      </c>
      <c r="MH23" s="118">
        <f>182.42</f>
        <v>182.42</v>
      </c>
      <c r="MI23" s="118">
        <f>7914.793+197.905+51119.234+26817.825+48.865+3238.849+7630.826+19112.557+5488.671</f>
        <v>121569.52500000001</v>
      </c>
      <c r="MJ23" s="118">
        <f>8.865</f>
        <v>8.8650000000000002</v>
      </c>
      <c r="MK23" s="118"/>
      <c r="ML23" s="118">
        <f>21352.762</f>
        <v>21352.761999999999</v>
      </c>
      <c r="MM23" s="118"/>
      <c r="MN23" s="118"/>
      <c r="MO23" s="118"/>
      <c r="MP23" s="118">
        <f>4974.293</f>
        <v>4974.2929999999997</v>
      </c>
      <c r="MQ23" s="118">
        <f>15097.8+2020.7+5918.1+9069.7+25920.9</f>
        <v>58027.199999999997</v>
      </c>
      <c r="MR23" s="118"/>
      <c r="MS23" s="118"/>
      <c r="MT23" s="118">
        <f>516.8</f>
        <v>516.79999999999995</v>
      </c>
      <c r="MU23" s="118">
        <f>2650.247</f>
        <v>2650.2469999999998</v>
      </c>
      <c r="MV23" s="118">
        <f>814.148+1371.196</f>
        <v>2185.3440000000001</v>
      </c>
      <c r="MW23" s="118"/>
      <c r="MX23" s="114"/>
    </row>
    <row r="24" spans="1:362" ht="11.25" customHeight="1" thickBot="1" x14ac:dyDescent="0.25">
      <c r="A24" s="158" t="s">
        <v>527</v>
      </c>
      <c r="B24" s="159"/>
      <c r="C24" s="160">
        <f>SUM(D25:MW25)</f>
        <v>3790885.6</v>
      </c>
      <c r="D24" s="118"/>
      <c r="E24" s="118">
        <v>315</v>
      </c>
      <c r="F24" s="118">
        <f>3060+1155</f>
        <v>4215</v>
      </c>
      <c r="G24" s="118"/>
      <c r="H24" s="118">
        <f>2384.74+3376+4961+1478.4+1065+1775</f>
        <v>15040.14</v>
      </c>
      <c r="I24" s="118">
        <v>2.9</v>
      </c>
      <c r="J24" s="118">
        <f>175+10326+1531.5+45190.5+52617+25672.5+625+48+12479+10948+3003+5655+2260.5+487+2727+1042.5+10357.5+16621.5+72574+33133.5+5510+820.8+7717.8+1298.4+1248.8+549+3081.6+5348+1126.2+444+2894.4</f>
        <v>337513</v>
      </c>
      <c r="K24" s="118"/>
      <c r="L24" s="118">
        <f>825+1200+3390+18+708+53</f>
        <v>6194</v>
      </c>
      <c r="M24" s="118">
        <f>58+715+2815</f>
        <v>3588</v>
      </c>
      <c r="N24" s="118"/>
      <c r="O24" s="118">
        <f>38280+6444+41555+59734+57685+3952+1068+30199+5005+4041+741.5+33094.12+1898.84+37274+30027</f>
        <v>350998.46</v>
      </c>
      <c r="P24" s="118">
        <f>375+7.4</f>
        <v>382.4</v>
      </c>
      <c r="Q24" s="118"/>
      <c r="R24" s="118">
        <f>1065+2520+225</f>
        <v>3810</v>
      </c>
      <c r="S24" s="118"/>
      <c r="T24" s="118">
        <f>2160+54304.5+5383.5+2114+3243+1867.5+2008.5+655.5+117+1866+20262+16419+3676.5+553.5+7166+5387+11995.5+6802.5+3313.5+376.5+10299+2196+15219+7983+1419+1858+10143</f>
        <v>198788.5</v>
      </c>
      <c r="U24" s="118"/>
      <c r="V24" s="118">
        <f>23370+456+15915+14215.5+16660.5+612+14283+79935+29460</f>
        <v>194907</v>
      </c>
      <c r="W24" s="118">
        <v>1003</v>
      </c>
      <c r="X24" s="118">
        <f>180+314</f>
        <v>494</v>
      </c>
      <c r="Y24" s="118">
        <f>11825+2016+164+1620+1557+105+340.5+510+6222+1560+7320+555+133.5+5805+360+1875+40110+1740+6780+7950+11460+1710+840+18780+555+960+315+45+22515+2280+139.5+705</f>
        <v>158852.5</v>
      </c>
      <c r="Z24" s="118">
        <f>645+75</f>
        <v>720</v>
      </c>
      <c r="AA24" s="118">
        <f>945+1110</f>
        <v>2055</v>
      </c>
      <c r="AB24" s="118">
        <f>3165+1365</f>
        <v>4530</v>
      </c>
      <c r="AC24" s="118"/>
      <c r="AD24" s="118"/>
      <c r="AE24" s="118">
        <f>12435+2235+2760</f>
        <v>17430</v>
      </c>
      <c r="AF24" s="118"/>
      <c r="AG24" s="118">
        <v>7225</v>
      </c>
      <c r="AH24" s="118"/>
      <c r="AI24" s="118">
        <v>435</v>
      </c>
      <c r="AJ24" s="118">
        <v>155</v>
      </c>
      <c r="AK24" s="118">
        <v>825</v>
      </c>
      <c r="AL24" s="118"/>
      <c r="AM24" s="118"/>
      <c r="AN24" s="118">
        <v>495</v>
      </c>
      <c r="AO24" s="118"/>
      <c r="AP24" s="118"/>
      <c r="AQ24" s="118">
        <f>300+255</f>
        <v>555</v>
      </c>
      <c r="AR24" s="118">
        <f>7.5+7.2+152.4</f>
        <v>167.1</v>
      </c>
      <c r="AS24" s="118">
        <f>21000+615+375+5175+31095+3720+1185+6345+3762+7462.5</f>
        <v>80734.5</v>
      </c>
      <c r="AT24" s="118"/>
      <c r="AU24" s="118">
        <f>135+5+9740</f>
        <v>9880</v>
      </c>
      <c r="AV24" s="118">
        <v>7407</v>
      </c>
      <c r="AW24" s="118"/>
      <c r="AX24" s="118">
        <f>17205+18315+4260+1305+15+29265+3960+11760+9360+1330.5+8397.21+745+307.5+945.6</f>
        <v>107170.81</v>
      </c>
      <c r="AY24" s="118">
        <f>125.15+1283.8+2450+1009.85+82204.5+1215+122+394+59507+18708+48272.79+189+65800+13871+1563+46480+13613+70224+7233+33753+338+199+1492+7723.62+7485+5130+4417+2623+16836.03+6994.84+1399.46+12856+3886+18031+22444+332+6418+3738+67016+18944+9159+38473+31565+301+114485+12556+34303+30157+3239+1860+429+13714.62+41707.73+19579+28227.22+4686.33+1206+2893+15128.81+2615+6196.8+5049.3+3513+2044.4+31.4+1534.2+224.8+750.56+92.68+3929.4+1316.44+2828.4+1661.74+308.26</f>
        <v>1112087.1299999999</v>
      </c>
      <c r="AZ24" s="118"/>
      <c r="BA24" s="118">
        <f>8115+21.8+342.9+273.6</f>
        <v>8753.3000000000011</v>
      </c>
      <c r="BB24" s="118"/>
      <c r="BC24" s="118"/>
      <c r="BD24" s="118"/>
      <c r="BE24" s="118"/>
      <c r="BF24" s="118">
        <v>50</v>
      </c>
      <c r="BG24" s="118">
        <f>1515+555+1395+855+1950+1110+1429.5+8742+276</f>
        <v>17827.5</v>
      </c>
      <c r="BH24" s="118">
        <v>3780</v>
      </c>
      <c r="BI24" s="118"/>
      <c r="BJ24" s="118"/>
      <c r="BK24" s="118"/>
      <c r="BL24" s="118">
        <v>7710</v>
      </c>
      <c r="BM24" s="118">
        <v>885</v>
      </c>
      <c r="BN24" s="118"/>
      <c r="BO24" s="118"/>
      <c r="BP24" s="118"/>
      <c r="BQ24" s="118">
        <f>2040+1545</f>
        <v>3585</v>
      </c>
      <c r="BR24" s="118"/>
      <c r="BS24" s="118"/>
      <c r="BT24" s="118">
        <v>81</v>
      </c>
      <c r="BU24" s="118">
        <v>750</v>
      </c>
      <c r="BV24" s="118">
        <f>10335+12615</f>
        <v>22950</v>
      </c>
      <c r="BW24" s="118"/>
      <c r="BX24" s="118"/>
      <c r="BY24" s="118"/>
      <c r="BZ24" s="118">
        <v>135</v>
      </c>
      <c r="CA24" s="118">
        <f>2160+9200+5891+574+259.8</f>
        <v>18084.8</v>
      </c>
      <c r="CB24" s="118">
        <v>1770</v>
      </c>
      <c r="CC24" s="118"/>
      <c r="CD24" s="118">
        <f>125+43+20</f>
        <v>188</v>
      </c>
      <c r="CE24" s="118"/>
      <c r="CF24" s="118"/>
      <c r="CG24" s="118">
        <v>1635</v>
      </c>
      <c r="CH24" s="118">
        <v>1299</v>
      </c>
      <c r="CI24" s="118">
        <f>1275+5610+2595+4080+4845</f>
        <v>18405</v>
      </c>
      <c r="CJ24" s="118">
        <f>65+300+102+84+211.5+123+82.5+1035+5565+36+810+390+885+375+1380+555+1380+555+1215+1815+735+5850+9315+450+2520+52650+2130+480+532.5+510+199.5+178.5+1545+754.5+15729+21304.5+256.5+607.5+262.5+1596+672+4144.5+681+504+36304.5+303+3612</f>
        <v>180791</v>
      </c>
      <c r="CK24" s="118"/>
      <c r="CL24" s="118">
        <f>1560+480+3330</f>
        <v>5370</v>
      </c>
      <c r="CM24" s="118">
        <f>455+95+665+350+150+3180+1365+1980+6615+7220+4360+175+2300+115+5421.5+63+9460.5+23877+6030+18348+6426+59+22857+21623+7799+4305+479+932+33</f>
        <v>156738</v>
      </c>
      <c r="CN24" s="118"/>
      <c r="CO24" s="118">
        <f>5250+1196</f>
        <v>6446</v>
      </c>
      <c r="CP24" s="118">
        <f>6981+517.5+8775+6855</f>
        <v>23128.5</v>
      </c>
      <c r="CQ24" s="118">
        <v>195</v>
      </c>
      <c r="CR24" s="118">
        <v>450</v>
      </c>
      <c r="CS24" s="118">
        <f>285+5000</f>
        <v>5285</v>
      </c>
      <c r="CT24" s="118"/>
      <c r="CU24" s="118"/>
      <c r="CV24" s="118"/>
      <c r="CW24" s="118">
        <f>810+101.1</f>
        <v>911.1</v>
      </c>
      <c r="CX24" s="118"/>
      <c r="CY24" s="118">
        <f>390+1755</f>
        <v>2145</v>
      </c>
      <c r="CZ24" s="118">
        <v>1700</v>
      </c>
      <c r="DA24" s="118">
        <v>665</v>
      </c>
      <c r="DB24" s="118">
        <f>11625+2109</f>
        <v>13734</v>
      </c>
      <c r="DC24" s="118"/>
      <c r="DD24" s="118">
        <f>1257+1033.5</f>
        <v>2290.5</v>
      </c>
      <c r="DE24" s="118">
        <f>375+7590</f>
        <v>7965</v>
      </c>
      <c r="DF24" s="118"/>
      <c r="DG24" s="118"/>
      <c r="DH24" s="118">
        <v>720</v>
      </c>
      <c r="DI24" s="118"/>
      <c r="DJ24" s="118"/>
      <c r="DK24" s="118"/>
      <c r="DL24" s="118">
        <f>167+143+78+40</f>
        <v>428</v>
      </c>
      <c r="DM24" s="118"/>
      <c r="DN24" s="118">
        <f>3915</f>
        <v>3915</v>
      </c>
      <c r="DO24" s="118"/>
      <c r="DP24" s="118">
        <f>718.52</f>
        <v>718.52</v>
      </c>
      <c r="DQ24" s="118">
        <f>1260+1635</f>
        <v>2895</v>
      </c>
      <c r="DR24" s="118"/>
      <c r="DS24" s="118">
        <f>135</f>
        <v>135</v>
      </c>
      <c r="DT24" s="118">
        <f>5625</f>
        <v>5625</v>
      </c>
      <c r="DU24" s="118">
        <f>1005</f>
        <v>1005</v>
      </c>
      <c r="DV24" s="118"/>
      <c r="DW24" s="118"/>
      <c r="DX24" s="118"/>
      <c r="DY24" s="118"/>
      <c r="DZ24" s="118"/>
      <c r="EA24" s="118">
        <f>405+1725</f>
        <v>2130</v>
      </c>
      <c r="EB24" s="118"/>
      <c r="EC24" s="118">
        <f>540</f>
        <v>540</v>
      </c>
      <c r="ED24" s="118">
        <f>125</f>
        <v>125</v>
      </c>
      <c r="EE24" s="118"/>
      <c r="EF24" s="118">
        <f>390</f>
        <v>390</v>
      </c>
      <c r="EG24" s="118"/>
      <c r="EH24" s="118">
        <f>145</f>
        <v>145</v>
      </c>
      <c r="EI24" s="118"/>
      <c r="EJ24" s="130">
        <f>1115</f>
        <v>1115</v>
      </c>
      <c r="EK24" s="118">
        <f>405+3780</f>
        <v>4185</v>
      </c>
      <c r="EL24" s="118"/>
      <c r="EM24" s="118"/>
      <c r="EN24" s="118">
        <f>634+2593.6+570</f>
        <v>3797.6</v>
      </c>
      <c r="EO24" s="118">
        <f>65</f>
        <v>65</v>
      </c>
      <c r="EP24" s="118"/>
      <c r="EQ24" s="118"/>
      <c r="ER24" s="118"/>
      <c r="ES24" s="118"/>
      <c r="ET24" s="118"/>
      <c r="EU24" s="118"/>
      <c r="EV24" s="118">
        <f>5115</f>
        <v>5115</v>
      </c>
      <c r="EW24" s="118">
        <f>4212+3444+14940</f>
        <v>22596</v>
      </c>
      <c r="EX24" s="118"/>
      <c r="EY24" s="118"/>
      <c r="EZ24" s="118"/>
      <c r="FA24" s="118">
        <f>810+210+6120+4650</f>
        <v>11790</v>
      </c>
      <c r="FB24" s="118">
        <f>585+3150</f>
        <v>3735</v>
      </c>
      <c r="FC24" s="118">
        <f>84+1515+1875+12240+7695</f>
        <v>23409</v>
      </c>
      <c r="FD24" s="118">
        <f>211</f>
        <v>211</v>
      </c>
      <c r="FE24" s="118"/>
      <c r="FF24" s="118"/>
      <c r="FG24" s="118">
        <f>5895</f>
        <v>5895</v>
      </c>
      <c r="FH24" s="118">
        <f>3525+1868+791.26</f>
        <v>6184.26</v>
      </c>
      <c r="FI24" s="118"/>
      <c r="FJ24" s="118"/>
      <c r="FK24" s="118">
        <f>975+585+795+780</f>
        <v>3135</v>
      </c>
      <c r="FL24" s="118">
        <f>3870+255.6</f>
        <v>4125.6000000000004</v>
      </c>
      <c r="FM24" s="118">
        <f>520.5+1330</f>
        <v>1850.5</v>
      </c>
      <c r="FN24" s="118"/>
      <c r="FO24" s="118">
        <f>4290</f>
        <v>4290</v>
      </c>
      <c r="FP24" s="118">
        <f>21.6+145</f>
        <v>166.6</v>
      </c>
      <c r="FQ24" s="118"/>
      <c r="FR24" s="118">
        <f>300.6</f>
        <v>300.60000000000002</v>
      </c>
      <c r="FS24" s="118"/>
      <c r="FT24" s="118"/>
      <c r="FU24" s="118"/>
      <c r="FV24" s="118"/>
      <c r="FW24" s="118">
        <f>1410+1245+1425</f>
        <v>4080</v>
      </c>
      <c r="FX24" s="118"/>
      <c r="FY24" s="118"/>
      <c r="FZ24" s="118">
        <f>495</f>
        <v>495</v>
      </c>
      <c r="GA24" s="118">
        <f>1185.2+1834.7+6424.33+2252.81+680+3334.56+4173.84+9297+5063+15877+9615+4228+8968+7362+9493+7170+6955+212+10907.13+4123.09+7537.84+229+3+2506+1205.94+172.46+260.6+2911.14+2724.46+353.4+11872.08+278.1+7235.29+1604.96+3390.83+1484.33+2607.58+8003.47+1586.69+1938.48+3801.4+907.96+3286.84+1630+2318.4+816.67+1080.88+9963.64+2326.54+1547.56+1886.45+351.57+188.96+9218+1343+3506+3226+33051+11862+3539+2212+1544+1040+10815+206+11182+6562+4886+3716+336+872.6+7250+253.42+12130.31+5319.57+2993.14+418.83+4504.74+1741.67+4600.5+4449.41+4513.49+2366.4+91.2+7588+3628.6+1994.8+2625.6+6067.8+13648.6+4092.4+4715.8+23.6+1098.8+308.8+1390.6+524.8+288.8+1298+810.6+622.6+867.6+2686+2119+4494+10329.6+315.2+514.49+14.11+500.36+703.24</f>
        <v>440189.25999999966</v>
      </c>
      <c r="GB24" s="118">
        <v>74307</v>
      </c>
      <c r="GC24" s="118"/>
      <c r="GD24" s="118"/>
      <c r="GE24" s="118">
        <f>4710+18647</f>
        <v>23357</v>
      </c>
      <c r="GF24" s="118">
        <v>645</v>
      </c>
      <c r="GG24" s="118">
        <f>2295+3015</f>
        <v>5310</v>
      </c>
      <c r="GH24" s="118">
        <f>6015+1080</f>
        <v>7095</v>
      </c>
      <c r="GI24" s="118">
        <f>1860+675+4659+1268+7687</f>
        <v>16149</v>
      </c>
      <c r="GJ24" s="118"/>
      <c r="GK24" s="118">
        <v>3825</v>
      </c>
      <c r="GL24" s="118">
        <v>2925</v>
      </c>
      <c r="GM24" s="118"/>
      <c r="GN24" s="118">
        <v>5700</v>
      </c>
      <c r="GO24" s="118">
        <f>4080.6+22213.2+6125.98+713.7+1072+834+688+24104+2318.8+4128.6+8780+5698+2842+2624.8+780.2+7707.4+1069.4+7676.2+4505.6+1152.2+1303.8+5145.2+13386+13088.2+2592.8+2368.4+3808.8+2434.2</f>
        <v>153242.07999999999</v>
      </c>
      <c r="GP24" s="118">
        <f>2295+7440+19920</f>
        <v>29655</v>
      </c>
      <c r="GQ24" s="118">
        <f>6120+8490+570+1335+155+9350+163+3951+2785+771</f>
        <v>33690</v>
      </c>
      <c r="GR24" s="119">
        <f>5035+46965+5789+57+25308+9631+8584</f>
        <v>101369</v>
      </c>
      <c r="GS24" s="118">
        <f>7055.25+1770+705+1497+2533.5+739.5+2019.8</f>
        <v>16320.05</v>
      </c>
      <c r="GT24" s="118"/>
      <c r="GU24" s="118"/>
      <c r="GV24" s="118">
        <f>5034+13563</f>
        <v>18597</v>
      </c>
      <c r="GW24" s="118"/>
      <c r="GX24" s="118"/>
      <c r="GY24" s="118"/>
      <c r="GZ24" s="118">
        <f>675+1243</f>
        <v>1918</v>
      </c>
      <c r="HA24" s="118"/>
      <c r="HB24" s="118"/>
      <c r="HC24" s="118">
        <v>4575</v>
      </c>
      <c r="HD24" s="118"/>
      <c r="HE24" s="118">
        <v>2467.8000000000002</v>
      </c>
      <c r="HF24" s="118"/>
      <c r="HG24" s="118">
        <v>41.4</v>
      </c>
      <c r="HH24" s="118"/>
      <c r="HI24" s="118">
        <v>125</v>
      </c>
      <c r="HJ24" s="118">
        <f>20700+17310+4650+4425</f>
        <v>47085</v>
      </c>
      <c r="HK24" s="118"/>
      <c r="HL24" s="118">
        <v>3045</v>
      </c>
      <c r="HM24" s="118">
        <v>999</v>
      </c>
      <c r="HN24" s="118">
        <f>1116+107706</f>
        <v>108822</v>
      </c>
      <c r="HO24" s="118"/>
      <c r="HP24" s="118">
        <f>2835</f>
        <v>2835</v>
      </c>
      <c r="HQ24" s="118">
        <v>435</v>
      </c>
      <c r="HR24" s="118"/>
      <c r="HS24" s="118"/>
      <c r="HT24" s="118"/>
      <c r="HU24" s="118"/>
      <c r="HV24" s="118"/>
      <c r="HW24" s="118">
        <f>1590+559.5+1441.5</f>
        <v>3591</v>
      </c>
      <c r="HX24" s="118"/>
      <c r="HY24" s="118">
        <f>5025.6+483.8+665+3815.8+1469.4</f>
        <v>11459.6</v>
      </c>
      <c r="HZ24" s="118"/>
      <c r="IA24" s="118"/>
      <c r="IB24" s="118"/>
      <c r="IC24" s="118">
        <f>160+47</f>
        <v>207</v>
      </c>
      <c r="ID24" s="118">
        <v>2850</v>
      </c>
      <c r="IE24" s="118"/>
      <c r="IF24" s="118"/>
      <c r="IG24" s="118"/>
      <c r="IH24" s="118"/>
      <c r="II24" s="118">
        <f>3298+1623+13504+18489+1638+1561.2+31.44</f>
        <v>40144.639999999999</v>
      </c>
      <c r="IJ24" s="118"/>
      <c r="IK24" s="118">
        <f>1675</f>
        <v>1675</v>
      </c>
      <c r="IL24" s="118">
        <f>750+7815</f>
        <v>8565</v>
      </c>
      <c r="IM24" s="118"/>
      <c r="IN24" s="118"/>
      <c r="IO24" s="118">
        <f>854.1+201.6+120</f>
        <v>1175.7</v>
      </c>
      <c r="IP24" s="118"/>
      <c r="IQ24" s="118"/>
      <c r="IR24" s="118"/>
      <c r="IS24" s="118">
        <f>3975+450</f>
        <v>4425</v>
      </c>
      <c r="IT24" s="118"/>
      <c r="IU24" s="119">
        <f>243</f>
        <v>243</v>
      </c>
      <c r="IV24" s="119">
        <f>2670+4710</f>
        <v>7380</v>
      </c>
      <c r="IW24" s="118">
        <f>615</f>
        <v>615</v>
      </c>
      <c r="IX24" s="118">
        <f>615+654.7</f>
        <v>1269.7</v>
      </c>
      <c r="IY24" s="118"/>
      <c r="IZ24" s="118"/>
      <c r="JA24" s="118"/>
      <c r="JB24" s="118"/>
      <c r="JC24" s="118">
        <f>3120</f>
        <v>3120</v>
      </c>
      <c r="JD24" s="118">
        <f>31208.97</f>
        <v>31208.97</v>
      </c>
      <c r="JE24" s="118"/>
      <c r="JF24" s="118"/>
      <c r="JG24" s="118"/>
      <c r="JH24" s="118"/>
      <c r="JI24" s="118"/>
      <c r="JJ24" s="118"/>
      <c r="JK24" s="118"/>
      <c r="JL24" s="118">
        <v>3648</v>
      </c>
      <c r="JM24" s="118"/>
      <c r="JN24" s="118">
        <v>8287.5</v>
      </c>
      <c r="JO24" s="118">
        <f>1320+1650+1952+1008</f>
        <v>5930</v>
      </c>
      <c r="JP24" s="118"/>
      <c r="JQ24" s="118">
        <v>2868</v>
      </c>
      <c r="JR24" s="118">
        <v>1185</v>
      </c>
      <c r="JS24" s="118"/>
      <c r="JT24" s="118">
        <f>201.47+3692.54+1047+2163+6227+13632+4240+1819</f>
        <v>33022.01</v>
      </c>
      <c r="JU24" s="118">
        <f>9908+6007+304</f>
        <v>16219</v>
      </c>
      <c r="JV24" s="118"/>
      <c r="JW24" s="118">
        <f>366+2490+375+375+600+690+23+1536+1446+1591+690+613</f>
        <v>10795</v>
      </c>
      <c r="JX24" s="118"/>
      <c r="JY24" s="118">
        <v>555</v>
      </c>
      <c r="JZ24" s="118"/>
      <c r="KA24" s="118">
        <f>5310+490</f>
        <v>5800</v>
      </c>
      <c r="KB24" s="118"/>
      <c r="KC24" s="118">
        <f>495+6887</f>
        <v>7382</v>
      </c>
      <c r="KD24" s="118">
        <f>390+37</f>
        <v>427</v>
      </c>
      <c r="KE24" s="118">
        <f>2435.1+750.6</f>
        <v>3185.7</v>
      </c>
      <c r="KF24" s="118">
        <v>1440</v>
      </c>
      <c r="KG24" s="118"/>
      <c r="KH24" s="118"/>
      <c r="KI24" s="118">
        <v>792</v>
      </c>
      <c r="KJ24" s="118"/>
      <c r="KK24" s="118">
        <f>750+750+1776+1587+2070</f>
        <v>6933</v>
      </c>
      <c r="KL24" s="118"/>
      <c r="KM24" s="118"/>
      <c r="KN24" s="118">
        <f>160+690+375+915+5640+505.4</f>
        <v>8285.4</v>
      </c>
      <c r="KO24" s="118">
        <f>1185+3109</f>
        <v>4294</v>
      </c>
      <c r="KP24" s="118">
        <f>735+615+29781+8670</f>
        <v>39801</v>
      </c>
      <c r="KQ24" s="118"/>
      <c r="KR24" s="118">
        <v>900</v>
      </c>
      <c r="KS24" s="118">
        <v>2400</v>
      </c>
      <c r="KT24" s="118">
        <v>2310</v>
      </c>
      <c r="KU24" s="118">
        <v>1290</v>
      </c>
      <c r="KV24" s="118"/>
      <c r="KW24" s="118">
        <f>200+270+1040+8770+2430+195+276+2999+520+213147+3477+2112</f>
        <v>235436</v>
      </c>
      <c r="KX24" s="118">
        <f>1415+2288+3546+34</f>
        <v>7283</v>
      </c>
      <c r="KY24" s="118">
        <f>1911.5+1160.2+1562.6+34+3546+2288</f>
        <v>10502.3</v>
      </c>
      <c r="KZ24" s="118"/>
      <c r="LA24" s="118"/>
      <c r="LB24" s="118">
        <f>945+961+392</f>
        <v>2298</v>
      </c>
      <c r="LC24" s="118">
        <v>390</v>
      </c>
      <c r="LD24" s="118"/>
      <c r="LE24" s="118"/>
      <c r="LF24" s="118">
        <f>52760.1+46540+103883.46+21370.5+61854+77825+9063+6412.5+26754+7390.5+522+99289.5+28395+9370.5+183075+116883+146761.5+54802.5+1846.5+34914+2626+2063.4+618.2</f>
        <v>1095020.1599999999</v>
      </c>
      <c r="LG24" s="118">
        <f>48.8+1001.1+1828.6+9000+6240+27300+259+133.5+5400+2325+5145+318+421.5+1144.5+820.5+261+63+4243.5+1534+1103+1669+89+42+2832+326+4383+2065+139+1545+1257+4195+4415+22095+5404+800+336+1934.1+618.8</f>
        <v>122734.90000000001</v>
      </c>
      <c r="LH24" s="118">
        <f>11910+5175+26340+1860</f>
        <v>45285</v>
      </c>
      <c r="LI24" s="118"/>
      <c r="LJ24" s="118"/>
      <c r="LK24" s="118">
        <f>1710.15+1147.35</f>
        <v>2857.5</v>
      </c>
      <c r="LL24" s="118">
        <v>900</v>
      </c>
      <c r="LM24" s="118"/>
      <c r="LN24" s="118">
        <f>222+145.5+171</f>
        <v>538.5</v>
      </c>
      <c r="LO24" s="118">
        <v>885</v>
      </c>
      <c r="LP24" s="118">
        <v>555</v>
      </c>
      <c r="LQ24" s="118">
        <f>1140+1935</f>
        <v>3075</v>
      </c>
      <c r="LR24" s="118"/>
      <c r="LS24" s="118"/>
      <c r="LT24" s="118"/>
      <c r="LU24" s="118">
        <f>451</f>
        <v>451</v>
      </c>
      <c r="LV24" s="118">
        <f>180</f>
        <v>180</v>
      </c>
      <c r="LW24" s="118"/>
      <c r="LX24" s="118">
        <f>3953+125</f>
        <v>4078</v>
      </c>
      <c r="LY24" s="118">
        <f>2274</f>
        <v>2274</v>
      </c>
      <c r="LZ24" s="118">
        <f>654+251.6+206.8+513.4</f>
        <v>1625.8000000000002</v>
      </c>
      <c r="MA24" s="118">
        <f>2310</f>
        <v>2310</v>
      </c>
      <c r="MB24" s="118"/>
      <c r="MC24" s="118">
        <f>20.6+7.9</f>
        <v>28.5</v>
      </c>
      <c r="MD24" s="118">
        <f>5775</f>
        <v>5775</v>
      </c>
      <c r="ME24" s="118"/>
      <c r="MF24" s="118"/>
      <c r="MG24" s="118"/>
      <c r="MH24" s="118"/>
      <c r="MI24" s="118">
        <f>24022.5+5482.5+7258.7+3049.8</f>
        <v>39813.5</v>
      </c>
      <c r="MJ24" s="118"/>
      <c r="MK24" s="118">
        <f>4485+4144.5+5286+4746+94.5+11257.5+5122.5+21166.5+1017+929+12033+1031+7254+230+127+475</f>
        <v>79398.5</v>
      </c>
      <c r="ML24" s="118"/>
      <c r="MM24" s="118"/>
      <c r="MN24" s="118">
        <f>150</f>
        <v>150</v>
      </c>
      <c r="MO24" s="118"/>
      <c r="MP24" s="118"/>
      <c r="MQ24" s="118">
        <f>3810+197.7+30</f>
        <v>4037.7</v>
      </c>
      <c r="MR24" s="118">
        <f>5220</f>
        <v>5220</v>
      </c>
      <c r="MS24" s="118">
        <f>217+885+2175</f>
        <v>3277</v>
      </c>
      <c r="MT24" s="118">
        <f>17+27</f>
        <v>44</v>
      </c>
      <c r="MU24" s="118"/>
      <c r="MV24" s="118"/>
      <c r="MW24" s="118"/>
      <c r="MX24" s="114"/>
    </row>
    <row r="25" spans="1:362" ht="11.25" customHeight="1" thickBot="1" x14ac:dyDescent="0.25">
      <c r="A25" s="161" t="s">
        <v>528</v>
      </c>
      <c r="B25" s="160"/>
      <c r="C25" s="160">
        <f>SUM(D26:MW26)</f>
        <v>677815.6</v>
      </c>
      <c r="D25" s="118"/>
      <c r="E25" s="118"/>
      <c r="F25" s="118"/>
      <c r="G25" s="118"/>
      <c r="H25" s="118"/>
      <c r="I25" s="118"/>
      <c r="J25" s="118">
        <f>3916.9+10048.4</f>
        <v>13965.3</v>
      </c>
      <c r="K25" s="118">
        <v>8289.5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14357.1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>
        <v>2916.1</v>
      </c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>
        <v>3201.9</v>
      </c>
      <c r="BJ25" s="118">
        <f>1244.7+11.5</f>
        <v>1256.2</v>
      </c>
      <c r="BK25" s="118"/>
      <c r="BL25" s="118"/>
      <c r="BM25" s="118">
        <v>14475.3</v>
      </c>
      <c r="BN25" s="118"/>
      <c r="BO25" s="118"/>
      <c r="BP25" s="118"/>
      <c r="BQ25" s="118"/>
      <c r="BR25" s="118">
        <v>3693.1</v>
      </c>
      <c r="BS25" s="118"/>
      <c r="BT25" s="118"/>
      <c r="BU25" s="118"/>
      <c r="BV25" s="118"/>
      <c r="BW25" s="118"/>
      <c r="BX25" s="118"/>
      <c r="BY25" s="118"/>
      <c r="BZ25" s="118"/>
      <c r="CA25" s="118">
        <v>1701701</v>
      </c>
      <c r="CB25" s="118"/>
      <c r="CC25" s="118">
        <v>14550</v>
      </c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>
        <v>4747.8999999999996</v>
      </c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>
        <f>28407.9+28549.2</f>
        <v>56957.100000000006</v>
      </c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>
        <f>55807.8+50249.4+49794.3+50542.9</f>
        <v>206394.4</v>
      </c>
      <c r="EX25" s="118"/>
      <c r="EY25" s="133">
        <f>8772.6+1634.4</f>
        <v>10407</v>
      </c>
      <c r="EZ25" s="118">
        <v>4809.2</v>
      </c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>
        <f>19246.7+22063.1+7136.4+174164.4+220610.1</f>
        <v>443220.7</v>
      </c>
      <c r="FN25" s="118"/>
      <c r="FO25" s="118"/>
      <c r="FP25" s="118"/>
      <c r="FQ25" s="118"/>
      <c r="FR25" s="118">
        <v>1072864.8</v>
      </c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>
        <v>98271.2</v>
      </c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>
        <v>11465.7</v>
      </c>
      <c r="IT25" s="118"/>
      <c r="IU25" s="118"/>
      <c r="IV25" s="118"/>
      <c r="IW25" s="118"/>
      <c r="IX25" s="118"/>
      <c r="IY25" s="118"/>
      <c r="IZ25" s="118"/>
      <c r="JA25" s="118">
        <v>8772.6</v>
      </c>
      <c r="JB25" s="118"/>
      <c r="JC25" s="118"/>
      <c r="JD25" s="118"/>
      <c r="JE25" s="118"/>
      <c r="JF25" s="118"/>
      <c r="JG25" s="118">
        <v>1663</v>
      </c>
      <c r="JH25" s="118"/>
      <c r="JI25" s="118"/>
      <c r="JJ25" s="118"/>
      <c r="JK25" s="118"/>
      <c r="JL25" s="118"/>
      <c r="JM25" s="118"/>
      <c r="JN25" s="118"/>
      <c r="JO25" s="118">
        <v>36606.300000000003</v>
      </c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>
        <v>8007.2</v>
      </c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>
        <v>19765.3</v>
      </c>
      <c r="LO25" s="118"/>
      <c r="LP25" s="118"/>
      <c r="LQ25" s="118"/>
      <c r="LR25" s="118">
        <v>28527.7</v>
      </c>
      <c r="LS25" s="118"/>
      <c r="LT25" s="118"/>
      <c r="LU25" s="118"/>
      <c r="LV25" s="118"/>
      <c r="LW25" s="118"/>
      <c r="LX25" s="118"/>
      <c r="LY25" s="118"/>
      <c r="LZ25" s="118"/>
      <c r="MA25" s="118"/>
      <c r="MB25" s="118"/>
      <c r="MC25" s="118"/>
      <c r="MD25" s="118"/>
      <c r="ME25" s="118"/>
      <c r="MF25" s="118"/>
      <c r="MG25" s="118"/>
      <c r="MH25" s="118"/>
      <c r="MI25" s="118"/>
      <c r="MJ25" s="118"/>
      <c r="MK25" s="118"/>
      <c r="ML25" s="118"/>
      <c r="MM25" s="118"/>
      <c r="MN25" s="118"/>
      <c r="MO25" s="118"/>
      <c r="MP25" s="118"/>
      <c r="MQ25" s="118"/>
      <c r="MR25" s="118"/>
      <c r="MS25" s="118"/>
      <c r="MT25" s="118"/>
      <c r="MU25" s="118"/>
      <c r="MV25" s="118"/>
      <c r="MW25" s="118"/>
      <c r="MX25" s="114"/>
    </row>
    <row r="26" spans="1:362" ht="10.5" customHeight="1" thickBot="1" x14ac:dyDescent="0.25">
      <c r="A26" s="161" t="s">
        <v>529</v>
      </c>
      <c r="B26" s="160"/>
      <c r="C26" s="160">
        <f>SUM(D27:MW27)</f>
        <v>1963547.3999999997</v>
      </c>
      <c r="D26" s="118"/>
      <c r="E26" s="118"/>
      <c r="F26" s="118"/>
      <c r="G26" s="118"/>
      <c r="H26" s="118"/>
      <c r="I26" s="118"/>
      <c r="J26" s="118">
        <f>560+225</f>
        <v>785</v>
      </c>
      <c r="K26" s="118"/>
      <c r="L26" s="118"/>
      <c r="M26" s="118"/>
      <c r="N26" s="118">
        <v>2294</v>
      </c>
      <c r="O26" s="118"/>
      <c r="P26" s="118">
        <v>620</v>
      </c>
      <c r="Q26" s="118"/>
      <c r="R26" s="118">
        <v>1056</v>
      </c>
      <c r="S26" s="118"/>
      <c r="T26" s="118"/>
      <c r="U26" s="118"/>
      <c r="V26" s="118">
        <v>248821.5</v>
      </c>
      <c r="W26" s="118"/>
      <c r="X26" s="118"/>
      <c r="Y26" s="118">
        <v>416</v>
      </c>
      <c r="Z26" s="118"/>
      <c r="AA26" s="118"/>
      <c r="AB26" s="118"/>
      <c r="AC26" s="118">
        <v>28.8</v>
      </c>
      <c r="AD26" s="118"/>
      <c r="AE26" s="118">
        <v>5775</v>
      </c>
      <c r="AF26" s="118"/>
      <c r="AG26" s="118"/>
      <c r="AH26" s="118"/>
      <c r="AI26" s="118"/>
      <c r="AJ26" s="118"/>
      <c r="AK26" s="118"/>
      <c r="AL26" s="118"/>
      <c r="AM26" s="118">
        <v>50</v>
      </c>
      <c r="AN26" s="118"/>
      <c r="AO26" s="118">
        <v>295.60000000000002</v>
      </c>
      <c r="AP26" s="118">
        <v>62.2</v>
      </c>
      <c r="AQ26" s="118">
        <v>320</v>
      </c>
      <c r="AR26" s="118">
        <v>22754.6</v>
      </c>
      <c r="AS26" s="118"/>
      <c r="AT26" s="118"/>
      <c r="AU26" s="118"/>
      <c r="AV26" s="118"/>
      <c r="AW26" s="118">
        <v>329.4</v>
      </c>
      <c r="AX26" s="118">
        <v>3088.1</v>
      </c>
      <c r="AY26" s="118">
        <v>4470.3</v>
      </c>
      <c r="AZ26" s="118">
        <v>1013.2</v>
      </c>
      <c r="BA26" s="118"/>
      <c r="BB26" s="118"/>
      <c r="BC26" s="118"/>
      <c r="BD26" s="118"/>
      <c r="BE26" s="118"/>
      <c r="BF26" s="118"/>
      <c r="BG26" s="118"/>
      <c r="BH26" s="118">
        <v>4146.2</v>
      </c>
      <c r="BI26" s="118"/>
      <c r="BJ26" s="118">
        <v>6454.4</v>
      </c>
      <c r="BK26" s="118">
        <v>443.6</v>
      </c>
      <c r="BL26" s="118"/>
      <c r="BM26" s="118"/>
      <c r="BN26" s="118"/>
      <c r="BO26" s="118"/>
      <c r="BP26" s="118"/>
      <c r="BQ26" s="118"/>
      <c r="BR26" s="118"/>
      <c r="BS26" s="118">
        <v>1049.5</v>
      </c>
      <c r="BT26" s="118"/>
      <c r="BU26" s="118"/>
      <c r="BV26" s="118"/>
      <c r="BW26" s="118"/>
      <c r="BX26" s="118"/>
      <c r="BY26" s="118"/>
      <c r="BZ26" s="118"/>
      <c r="CA26" s="118"/>
      <c r="CB26" s="118">
        <v>1888</v>
      </c>
      <c r="CC26" s="118">
        <v>1488</v>
      </c>
      <c r="CD26" s="118"/>
      <c r="CE26" s="118"/>
      <c r="CF26" s="118"/>
      <c r="CG26" s="118">
        <v>828.9</v>
      </c>
      <c r="CH26" s="118"/>
      <c r="CI26" s="118"/>
      <c r="CJ26" s="118">
        <f>2944+360.1</f>
        <v>3304.1</v>
      </c>
      <c r="CK26" s="118"/>
      <c r="CL26" s="118"/>
      <c r="CM26" s="118">
        <f>9485.3+4261.7</f>
        <v>13747</v>
      </c>
      <c r="CN26" s="118"/>
      <c r="CO26" s="118"/>
      <c r="CP26" s="118"/>
      <c r="CQ26" s="118"/>
      <c r="CR26" s="118"/>
      <c r="CS26" s="118"/>
      <c r="CT26" s="118"/>
      <c r="CU26" s="118">
        <v>720</v>
      </c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>
        <v>312.8</v>
      </c>
      <c r="DN26" s="118">
        <v>1305</v>
      </c>
      <c r="DO26" s="118"/>
      <c r="DP26" s="118">
        <v>608</v>
      </c>
      <c r="DQ26" s="118"/>
      <c r="DR26" s="118">
        <v>1588.2</v>
      </c>
      <c r="DS26" s="118">
        <v>782.8</v>
      </c>
      <c r="DT26" s="118"/>
      <c r="DU26" s="118">
        <v>248.4</v>
      </c>
      <c r="DV26" s="118"/>
      <c r="DW26" s="118">
        <v>700</v>
      </c>
      <c r="DX26" s="118"/>
      <c r="DY26" s="118"/>
      <c r="DZ26" s="118"/>
      <c r="EA26" s="118"/>
      <c r="EB26" s="118"/>
      <c r="EC26" s="118">
        <v>576</v>
      </c>
      <c r="ED26" s="118"/>
      <c r="EE26" s="118"/>
      <c r="EF26" s="118"/>
      <c r="EG26" s="118"/>
      <c r="EH26" s="118"/>
      <c r="EI26" s="118"/>
      <c r="EJ26" s="118"/>
      <c r="EK26" s="118">
        <v>288</v>
      </c>
      <c r="EL26" s="118"/>
      <c r="EM26" s="118"/>
      <c r="EN26" s="118">
        <v>2503</v>
      </c>
      <c r="EO26" s="118"/>
      <c r="EP26" s="118">
        <v>2173</v>
      </c>
      <c r="EQ26" s="118"/>
      <c r="ER26" s="118"/>
      <c r="ES26" s="118"/>
      <c r="ET26" s="118"/>
      <c r="EU26" s="118"/>
      <c r="EV26" s="118"/>
      <c r="EW26" s="118">
        <v>1750</v>
      </c>
      <c r="EX26" s="118"/>
      <c r="EY26" s="118"/>
      <c r="EZ26" s="118">
        <v>96</v>
      </c>
      <c r="FA26" s="118"/>
      <c r="FB26" s="118">
        <v>1703.8</v>
      </c>
      <c r="FC26" s="118">
        <v>1994.6</v>
      </c>
      <c r="FD26" s="118"/>
      <c r="FE26" s="118"/>
      <c r="FF26" s="118">
        <v>320</v>
      </c>
      <c r="FG26" s="118"/>
      <c r="FH26" s="118"/>
      <c r="FI26" s="118"/>
      <c r="FJ26" s="118"/>
      <c r="FK26" s="118"/>
      <c r="FL26" s="118"/>
      <c r="FM26" s="118"/>
      <c r="FN26" s="118"/>
      <c r="FO26" s="118"/>
      <c r="FP26" s="118">
        <v>264.2</v>
      </c>
      <c r="FQ26" s="118"/>
      <c r="FR26" s="118">
        <v>19036</v>
      </c>
      <c r="FS26" s="118"/>
      <c r="FT26" s="118">
        <v>14650</v>
      </c>
      <c r="FU26" s="118"/>
      <c r="FV26" s="118">
        <v>8610.7000000000007</v>
      </c>
      <c r="FW26" s="118"/>
      <c r="FX26" s="118"/>
      <c r="FY26" s="118"/>
      <c r="FZ26" s="118"/>
      <c r="GA26" s="118"/>
      <c r="GB26" s="118"/>
      <c r="GC26" s="118"/>
      <c r="GD26" s="118"/>
      <c r="GE26" s="118"/>
      <c r="GF26" s="118">
        <v>688</v>
      </c>
      <c r="GG26" s="118"/>
      <c r="GH26" s="118"/>
      <c r="GI26" s="118">
        <v>1878</v>
      </c>
      <c r="GJ26" s="118"/>
      <c r="GK26" s="118">
        <v>2052.6</v>
      </c>
      <c r="GL26" s="118"/>
      <c r="GM26" s="118"/>
      <c r="GN26" s="118">
        <v>2442.6</v>
      </c>
      <c r="GO26" s="118"/>
      <c r="GP26" s="118">
        <v>211</v>
      </c>
      <c r="GQ26" s="118"/>
      <c r="GR26" s="118"/>
      <c r="GS26" s="118">
        <v>14.9</v>
      </c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>
        <v>23167.8</v>
      </c>
      <c r="HK26" s="118"/>
      <c r="HL26" s="118"/>
      <c r="HM26" s="118"/>
      <c r="HN26" s="118"/>
      <c r="HO26" s="118"/>
      <c r="HP26" s="118">
        <v>2570.4</v>
      </c>
      <c r="HQ26" s="118">
        <v>145</v>
      </c>
      <c r="HR26" s="118"/>
      <c r="HS26" s="118"/>
      <c r="HT26" s="118"/>
      <c r="HU26" s="118"/>
      <c r="HV26" s="118"/>
      <c r="HW26" s="118">
        <v>1848</v>
      </c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>
        <v>437.5</v>
      </c>
      <c r="IL26" s="118"/>
      <c r="IM26" s="118"/>
      <c r="IN26" s="118">
        <v>2544</v>
      </c>
      <c r="IO26" s="118"/>
      <c r="IP26" s="118"/>
      <c r="IQ26" s="118"/>
      <c r="IR26" s="118"/>
      <c r="IS26" s="118">
        <v>2227.6</v>
      </c>
      <c r="IT26" s="118"/>
      <c r="IU26" s="118"/>
      <c r="IV26" s="118"/>
      <c r="IW26" s="118">
        <v>440</v>
      </c>
      <c r="IX26" s="118"/>
      <c r="IY26" s="118"/>
      <c r="IZ26" s="118"/>
      <c r="JA26" s="118">
        <v>842.9</v>
      </c>
      <c r="JB26" s="118"/>
      <c r="JC26" s="118"/>
      <c r="JD26" s="118"/>
      <c r="JE26" s="118"/>
      <c r="JF26" s="118">
        <v>504</v>
      </c>
      <c r="JG26" s="118"/>
      <c r="JH26" s="118"/>
      <c r="JI26" s="118"/>
      <c r="JJ26" s="118"/>
      <c r="JK26" s="118"/>
      <c r="JL26" s="118">
        <v>123.2</v>
      </c>
      <c r="JM26" s="118">
        <v>140</v>
      </c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>
        <v>900.6</v>
      </c>
      <c r="KA26" s="118"/>
      <c r="KB26" s="118"/>
      <c r="KC26" s="118"/>
      <c r="KD26" s="118"/>
      <c r="KE26" s="118"/>
      <c r="KF26" s="118"/>
      <c r="KG26" s="118"/>
      <c r="KH26" s="118"/>
      <c r="KI26" s="118">
        <v>1300.8</v>
      </c>
      <c r="KJ26" s="118"/>
      <c r="KK26" s="118"/>
      <c r="KL26" s="118"/>
      <c r="KM26" s="118"/>
      <c r="KN26" s="118"/>
      <c r="KO26" s="118">
        <v>632</v>
      </c>
      <c r="KP26" s="118"/>
      <c r="KQ26" s="118">
        <v>1000</v>
      </c>
      <c r="KR26" s="118">
        <v>2400</v>
      </c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>
        <v>416</v>
      </c>
      <c r="LD26" s="118"/>
      <c r="LE26" s="118"/>
      <c r="LF26" s="118">
        <v>27190</v>
      </c>
      <c r="LG26" s="118">
        <v>33049.4</v>
      </c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>
        <v>7408</v>
      </c>
      <c r="LU26" s="118"/>
      <c r="LV26" s="118"/>
      <c r="LW26" s="118"/>
      <c r="LX26" s="118"/>
      <c r="LY26" s="118"/>
      <c r="LZ26" s="118"/>
      <c r="MA26" s="118"/>
      <c r="MB26" s="118"/>
      <c r="MC26" s="118"/>
      <c r="MD26" s="118"/>
      <c r="ME26" s="118">
        <v>96</v>
      </c>
      <c r="MF26" s="118"/>
      <c r="MG26" s="118"/>
      <c r="MH26" s="118"/>
      <c r="MI26" s="118">
        <v>18517</v>
      </c>
      <c r="MJ26" s="118"/>
      <c r="MK26" s="118">
        <v>7705.3</v>
      </c>
      <c r="ML26" s="118">
        <v>146099.9</v>
      </c>
      <c r="MM26" s="118"/>
      <c r="MN26" s="118"/>
      <c r="MO26" s="118"/>
      <c r="MP26" s="118"/>
      <c r="MQ26" s="118"/>
      <c r="MR26" s="118"/>
      <c r="MS26" s="118">
        <v>3063.2</v>
      </c>
      <c r="MT26" s="118"/>
      <c r="MU26" s="118"/>
      <c r="MV26" s="118"/>
      <c r="MW26" s="118"/>
      <c r="MX26" s="114"/>
    </row>
    <row r="27" spans="1:362" ht="10.5" customHeight="1" thickBot="1" x14ac:dyDescent="0.25">
      <c r="A27" s="161" t="s">
        <v>530</v>
      </c>
      <c r="B27" s="160"/>
      <c r="C27" s="160">
        <f>SUM(D28:MW28)</f>
        <v>1778.4</v>
      </c>
      <c r="D27" s="118"/>
      <c r="E27" s="118"/>
      <c r="F27" s="118"/>
      <c r="G27" s="118"/>
      <c r="H27" s="118"/>
      <c r="I27" s="118"/>
      <c r="J27" s="118"/>
      <c r="K27" s="118"/>
      <c r="L27" s="118">
        <v>1628</v>
      </c>
      <c r="M27" s="118"/>
      <c r="N27" s="118"/>
      <c r="O27" s="118">
        <v>1405304.1</v>
      </c>
      <c r="P27" s="118">
        <v>100</v>
      </c>
      <c r="Q27" s="118"/>
      <c r="R27" s="118"/>
      <c r="S27" s="118">
        <v>1620</v>
      </c>
      <c r="T27" s="118"/>
      <c r="U27" s="118"/>
      <c r="V27" s="118">
        <v>1141.9000000000001</v>
      </c>
      <c r="W27" s="118"/>
      <c r="X27" s="118"/>
      <c r="Y27" s="118"/>
      <c r="Z27" s="118"/>
      <c r="AA27" s="118"/>
      <c r="AB27" s="118"/>
      <c r="AC27" s="118"/>
      <c r="AD27" s="118">
        <v>1700</v>
      </c>
      <c r="AE27" s="118">
        <v>44000</v>
      </c>
      <c r="AF27" s="118"/>
      <c r="AG27" s="118">
        <v>3250</v>
      </c>
      <c r="AH27" s="118"/>
      <c r="AI27" s="118"/>
      <c r="AJ27" s="118"/>
      <c r="AK27" s="118">
        <v>1190.5999999999999</v>
      </c>
      <c r="AL27" s="118">
        <v>602.20000000000005</v>
      </c>
      <c r="AM27" s="118"/>
      <c r="AN27" s="118"/>
      <c r="AO27" s="118"/>
      <c r="AP27" s="118"/>
      <c r="AQ27" s="118"/>
      <c r="AR27" s="118"/>
      <c r="AS27" s="118"/>
      <c r="AT27" s="118">
        <v>2609.6</v>
      </c>
      <c r="AU27" s="118"/>
      <c r="AV27" s="118"/>
      <c r="AW27" s="118"/>
      <c r="AX27" s="118">
        <v>268.39999999999998</v>
      </c>
      <c r="AY27" s="118">
        <v>88.6</v>
      </c>
      <c r="AZ27" s="118">
        <v>3777.2</v>
      </c>
      <c r="BA27" s="118"/>
      <c r="BB27" s="118"/>
      <c r="BC27" s="118">
        <v>10953.2</v>
      </c>
      <c r="BD27" s="118"/>
      <c r="BE27" s="118"/>
      <c r="BF27" s="118"/>
      <c r="BG27" s="118"/>
      <c r="BH27" s="118">
        <v>10125.6</v>
      </c>
      <c r="BI27" s="118"/>
      <c r="BJ27" s="118">
        <v>12020.6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>
        <v>150</v>
      </c>
      <c r="CD27" s="118"/>
      <c r="CE27" s="118">
        <v>792</v>
      </c>
      <c r="CF27" s="118"/>
      <c r="CG27" s="118"/>
      <c r="CH27" s="118"/>
      <c r="CI27" s="118"/>
      <c r="CJ27" s="118">
        <f>10680.3+100+1718.7</f>
        <v>12499</v>
      </c>
      <c r="CK27" s="118"/>
      <c r="CL27" s="118"/>
      <c r="CM27" s="118">
        <v>873</v>
      </c>
      <c r="CN27" s="118"/>
      <c r="CO27" s="118"/>
      <c r="CP27" s="118">
        <v>41545.5</v>
      </c>
      <c r="CQ27" s="118"/>
      <c r="CR27" s="118"/>
      <c r="CS27" s="118"/>
      <c r="CT27" s="118"/>
      <c r="CU27" s="118"/>
      <c r="CV27" s="118">
        <v>501.8</v>
      </c>
      <c r="CW27" s="118">
        <v>2400</v>
      </c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>
        <v>120</v>
      </c>
      <c r="DI27" s="118">
        <v>3188.2</v>
      </c>
      <c r="DJ27" s="118"/>
      <c r="DK27" s="118"/>
      <c r="DL27" s="118">
        <v>4487.3999999999996</v>
      </c>
      <c r="DM27" s="118">
        <v>1450.9</v>
      </c>
      <c r="DN27" s="118">
        <v>3087.5</v>
      </c>
      <c r="DO27" s="118"/>
      <c r="DP27" s="118"/>
      <c r="DQ27" s="118"/>
      <c r="DR27" s="118"/>
      <c r="DS27" s="118"/>
      <c r="DT27" s="118">
        <v>4500</v>
      </c>
      <c r="DU27" s="118"/>
      <c r="DV27" s="118"/>
      <c r="DW27" s="118"/>
      <c r="DX27" s="118">
        <v>1752.7</v>
      </c>
      <c r="DY27" s="118"/>
      <c r="DZ27" s="118">
        <v>750</v>
      </c>
      <c r="EA27" s="118"/>
      <c r="EB27" s="118"/>
      <c r="EC27" s="118">
        <v>40</v>
      </c>
      <c r="ED27" s="118"/>
      <c r="EE27" s="118"/>
      <c r="EF27" s="118"/>
      <c r="EG27" s="118"/>
      <c r="EH27" s="118">
        <v>134.19999999999999</v>
      </c>
      <c r="EI27" s="118">
        <v>7051.1</v>
      </c>
      <c r="EJ27" s="118">
        <v>4016</v>
      </c>
      <c r="EK27" s="118"/>
      <c r="EL27" s="118"/>
      <c r="EM27" s="118">
        <v>329.9</v>
      </c>
      <c r="EN27" s="118">
        <v>43361.2</v>
      </c>
      <c r="EO27" s="118"/>
      <c r="EP27" s="118">
        <v>12201.1</v>
      </c>
      <c r="EQ27" s="118">
        <v>3012.3</v>
      </c>
      <c r="ER27" s="118">
        <v>464.1</v>
      </c>
      <c r="ES27" s="118">
        <v>500</v>
      </c>
      <c r="ET27" s="118"/>
      <c r="EU27" s="118"/>
      <c r="EV27" s="118"/>
      <c r="EW27" s="118">
        <v>1050</v>
      </c>
      <c r="EX27" s="118"/>
      <c r="EY27" s="118"/>
      <c r="EZ27" s="118"/>
      <c r="FA27" s="118">
        <f>123309.5+86000.6</f>
        <v>209310.1</v>
      </c>
      <c r="FB27" s="118">
        <v>2451.1</v>
      </c>
      <c r="FC27" s="118">
        <v>4500</v>
      </c>
      <c r="FD27" s="118"/>
      <c r="FE27" s="118"/>
      <c r="FF27" s="118"/>
      <c r="FG27" s="118"/>
      <c r="FH27" s="118"/>
      <c r="FI27" s="118"/>
      <c r="FJ27" s="118"/>
      <c r="FK27" s="118">
        <v>136.19999999999999</v>
      </c>
      <c r="FL27" s="118"/>
      <c r="FM27" s="118"/>
      <c r="FN27" s="118"/>
      <c r="FO27" s="118"/>
      <c r="FP27" s="118"/>
      <c r="FQ27" s="118"/>
      <c r="FR27" s="118">
        <v>2548.4</v>
      </c>
      <c r="FS27" s="118"/>
      <c r="FT27" s="118">
        <v>1530</v>
      </c>
      <c r="FU27" s="118"/>
      <c r="FV27" s="118">
        <v>120</v>
      </c>
      <c r="FW27" s="118"/>
      <c r="FX27" s="118"/>
      <c r="FY27" s="118"/>
      <c r="FZ27" s="118"/>
      <c r="GA27" s="118"/>
      <c r="GB27" s="118"/>
      <c r="GC27" s="118"/>
      <c r="GD27" s="118">
        <v>3053.5</v>
      </c>
      <c r="GE27" s="118"/>
      <c r="GF27" s="118"/>
      <c r="GG27" s="118"/>
      <c r="GH27" s="118"/>
      <c r="GI27" s="118">
        <v>100</v>
      </c>
      <c r="GJ27" s="118"/>
      <c r="GK27" s="118"/>
      <c r="GL27" s="118"/>
      <c r="GM27" s="118"/>
      <c r="GN27" s="118"/>
      <c r="GO27" s="118"/>
      <c r="GP27" s="118">
        <v>2684</v>
      </c>
      <c r="GQ27" s="118"/>
      <c r="GR27" s="118"/>
      <c r="GS27" s="118"/>
      <c r="GT27" s="118"/>
      <c r="GU27" s="118"/>
      <c r="GV27" s="118"/>
      <c r="GW27" s="118"/>
      <c r="GX27" s="118"/>
      <c r="GY27" s="118"/>
      <c r="GZ27" s="118">
        <v>2192.6999999999998</v>
      </c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>
        <v>40</v>
      </c>
      <c r="HX27" s="118">
        <v>1715</v>
      </c>
      <c r="HY27" s="118"/>
      <c r="HZ27" s="118"/>
      <c r="IA27" s="118">
        <v>8050</v>
      </c>
      <c r="IB27" s="118"/>
      <c r="IC27" s="118"/>
      <c r="ID27" s="118"/>
      <c r="IE27" s="118"/>
      <c r="IF27" s="118"/>
      <c r="IG27" s="118"/>
      <c r="IH27" s="118"/>
      <c r="II27" s="118"/>
      <c r="IJ27" s="118"/>
      <c r="IK27" s="118">
        <v>856.9</v>
      </c>
      <c r="IL27" s="118"/>
      <c r="IM27" s="118"/>
      <c r="IN27" s="118"/>
      <c r="IO27" s="118"/>
      <c r="IP27" s="118"/>
      <c r="IQ27" s="118"/>
      <c r="IR27" s="118">
        <v>775</v>
      </c>
      <c r="IS27" s="118">
        <v>14988</v>
      </c>
      <c r="IT27" s="118"/>
      <c r="IU27" s="118"/>
      <c r="IV27" s="118"/>
      <c r="IW27" s="118">
        <v>959.4</v>
      </c>
      <c r="IX27" s="118"/>
      <c r="IY27" s="118"/>
      <c r="IZ27" s="118"/>
      <c r="JA27" s="118"/>
      <c r="JB27" s="118"/>
      <c r="JC27" s="118"/>
      <c r="JD27" s="118"/>
      <c r="JE27" s="118"/>
      <c r="JF27" s="118">
        <v>1869.8</v>
      </c>
      <c r="JG27" s="118"/>
      <c r="JH27" s="118"/>
      <c r="JI27" s="118"/>
      <c r="JJ27" s="118"/>
      <c r="JK27" s="118"/>
      <c r="JL27" s="118"/>
      <c r="JM27" s="118"/>
      <c r="JN27" s="118"/>
      <c r="JO27" s="118"/>
      <c r="JP27" s="118"/>
      <c r="JQ27" s="118"/>
      <c r="JR27" s="118"/>
      <c r="JS27" s="118"/>
      <c r="JT27" s="118"/>
      <c r="JU27" s="118">
        <v>1551.2</v>
      </c>
      <c r="JV27" s="118"/>
      <c r="JW27" s="118">
        <v>22693.5</v>
      </c>
      <c r="JX27" s="118"/>
      <c r="JY27" s="118"/>
      <c r="JZ27" s="118"/>
      <c r="KA27" s="118"/>
      <c r="KB27" s="118"/>
      <c r="KC27" s="118"/>
      <c r="KD27" s="118"/>
      <c r="KE27" s="118"/>
      <c r="KF27" s="118"/>
      <c r="KG27" s="118">
        <v>9610.6</v>
      </c>
      <c r="KH27" s="118"/>
      <c r="KI27" s="118">
        <v>2841.9</v>
      </c>
      <c r="KJ27" s="118"/>
      <c r="KK27" s="118"/>
      <c r="KL27" s="118"/>
      <c r="KM27" s="118">
        <v>1700</v>
      </c>
      <c r="KN27" s="118"/>
      <c r="KO27" s="118"/>
      <c r="KP27" s="118"/>
      <c r="KQ27" s="118"/>
      <c r="KR27" s="118"/>
      <c r="KS27" s="118"/>
      <c r="KT27" s="118"/>
      <c r="KU27" s="118"/>
      <c r="KV27" s="118"/>
      <c r="KW27" s="118"/>
      <c r="KX27" s="118"/>
      <c r="KY27" s="118"/>
      <c r="KZ27" s="118"/>
      <c r="LA27" s="118"/>
      <c r="LB27" s="118"/>
      <c r="LC27" s="118"/>
      <c r="LD27" s="118"/>
      <c r="LE27" s="118"/>
      <c r="LF27" s="118">
        <v>2577.9</v>
      </c>
      <c r="LG27" s="118"/>
      <c r="LH27" s="118"/>
      <c r="LI27" s="118"/>
      <c r="LJ27" s="118"/>
      <c r="LK27" s="118"/>
      <c r="LL27" s="118"/>
      <c r="LM27" s="118"/>
      <c r="LN27" s="118"/>
      <c r="LO27" s="118"/>
      <c r="LP27" s="118"/>
      <c r="LQ27" s="118"/>
      <c r="LR27" s="118"/>
      <c r="LS27" s="118"/>
      <c r="LT27" s="118">
        <v>1500</v>
      </c>
      <c r="LU27" s="118"/>
      <c r="LV27" s="118"/>
      <c r="LW27" s="118"/>
      <c r="LX27" s="118"/>
      <c r="LY27" s="118"/>
      <c r="LZ27" s="118"/>
      <c r="MA27" s="118"/>
      <c r="MB27" s="118"/>
      <c r="MC27" s="118"/>
      <c r="MD27" s="118"/>
      <c r="ME27" s="118"/>
      <c r="MF27" s="118"/>
      <c r="MG27" s="118">
        <v>1500</v>
      </c>
      <c r="MH27" s="118"/>
      <c r="MI27" s="118">
        <v>3800</v>
      </c>
      <c r="MJ27" s="118"/>
      <c r="MK27" s="118">
        <v>1126.9000000000001</v>
      </c>
      <c r="ML27" s="118">
        <v>2340</v>
      </c>
      <c r="MM27" s="118"/>
      <c r="MN27" s="118"/>
      <c r="MO27" s="118"/>
      <c r="MP27" s="118"/>
      <c r="MQ27" s="118"/>
      <c r="MR27" s="118"/>
      <c r="MS27" s="118">
        <v>3787.4</v>
      </c>
      <c r="MT27" s="118"/>
      <c r="MU27" s="118"/>
      <c r="MV27" s="118"/>
      <c r="MW27" s="118"/>
      <c r="MX27" s="114"/>
    </row>
    <row r="28" spans="1:362" ht="9.75" customHeight="1" thickBot="1" x14ac:dyDescent="0.25">
      <c r="A28" s="161" t="s">
        <v>531</v>
      </c>
      <c r="B28" s="160"/>
      <c r="C28" s="160">
        <f>SUM(D29:MW29)</f>
        <v>3445895.1999999993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>
        <v>744.4</v>
      </c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>
        <v>125</v>
      </c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>
        <v>79</v>
      </c>
      <c r="GJ28" s="118"/>
      <c r="GK28" s="118"/>
      <c r="GL28" s="118"/>
      <c r="GM28" s="118"/>
      <c r="GN28" s="118">
        <v>40</v>
      </c>
      <c r="GO28" s="118"/>
      <c r="GP28" s="118">
        <v>790</v>
      </c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  <c r="IW28" s="118"/>
      <c r="IX28" s="118"/>
      <c r="IY28" s="118"/>
      <c r="IZ28" s="118"/>
      <c r="JA28" s="118"/>
      <c r="JB28" s="118"/>
      <c r="JC28" s="118"/>
      <c r="JD28" s="118"/>
      <c r="JE28" s="118"/>
      <c r="JF28" s="118"/>
      <c r="JG28" s="118"/>
      <c r="JH28" s="118"/>
      <c r="JI28" s="118"/>
      <c r="JJ28" s="118"/>
      <c r="JK28" s="118"/>
      <c r="JL28" s="118"/>
      <c r="JM28" s="118"/>
      <c r="JN28" s="118"/>
      <c r="JO28" s="118"/>
      <c r="JP28" s="118"/>
      <c r="JQ28" s="118"/>
      <c r="JR28" s="118"/>
      <c r="JS28" s="118"/>
      <c r="JT28" s="118"/>
      <c r="JU28" s="118"/>
      <c r="JV28" s="118"/>
      <c r="JW28" s="118"/>
      <c r="JX28" s="118"/>
      <c r="JY28" s="118"/>
      <c r="JZ28" s="118"/>
      <c r="KA28" s="118"/>
      <c r="KB28" s="118"/>
      <c r="KC28" s="118"/>
      <c r="KD28" s="118"/>
      <c r="KE28" s="118"/>
      <c r="KF28" s="118"/>
      <c r="KG28" s="118"/>
      <c r="KH28" s="118"/>
      <c r="KI28" s="118"/>
      <c r="KJ28" s="118"/>
      <c r="KK28" s="118"/>
      <c r="KL28" s="118"/>
      <c r="KM28" s="118"/>
      <c r="KN28" s="118"/>
      <c r="KO28" s="118"/>
      <c r="KP28" s="118"/>
      <c r="KQ28" s="118"/>
      <c r="KR28" s="118"/>
      <c r="KS28" s="118"/>
      <c r="KT28" s="118"/>
      <c r="KU28" s="118"/>
      <c r="KV28" s="118"/>
      <c r="KW28" s="118"/>
      <c r="KX28" s="118"/>
      <c r="KY28" s="118"/>
      <c r="KZ28" s="118"/>
      <c r="LA28" s="118"/>
      <c r="LB28" s="118"/>
      <c r="LC28" s="118"/>
      <c r="LD28" s="118"/>
      <c r="LE28" s="118"/>
      <c r="LF28" s="118"/>
      <c r="LG28" s="118"/>
      <c r="LH28" s="118"/>
      <c r="LI28" s="118"/>
      <c r="LJ28" s="118"/>
      <c r="LK28" s="118"/>
      <c r="LL28" s="118"/>
      <c r="LM28" s="118"/>
      <c r="LN28" s="118"/>
      <c r="LO28" s="118"/>
      <c r="LP28" s="118"/>
      <c r="LQ28" s="118"/>
      <c r="LR28" s="118"/>
      <c r="LS28" s="118"/>
      <c r="LT28" s="118"/>
      <c r="LU28" s="118"/>
      <c r="LV28" s="118"/>
      <c r="LW28" s="118"/>
      <c r="LX28" s="118"/>
      <c r="LY28" s="118"/>
      <c r="LZ28" s="118"/>
      <c r="MA28" s="118"/>
      <c r="MB28" s="118"/>
      <c r="MC28" s="118"/>
      <c r="MD28" s="118"/>
      <c r="ME28" s="118"/>
      <c r="MF28" s="118"/>
      <c r="MG28" s="118"/>
      <c r="MH28" s="118"/>
      <c r="MI28" s="118"/>
      <c r="MJ28" s="118"/>
      <c r="MK28" s="118"/>
      <c r="ML28" s="118"/>
      <c r="MM28" s="118"/>
      <c r="MN28" s="118"/>
      <c r="MO28" s="118"/>
      <c r="MP28" s="118"/>
      <c r="MQ28" s="118"/>
      <c r="MR28" s="118"/>
      <c r="MS28" s="118"/>
      <c r="MT28" s="118"/>
      <c r="MU28" s="118"/>
      <c r="MV28" s="118"/>
      <c r="MW28" s="118"/>
      <c r="MX28" s="114"/>
    </row>
    <row r="29" spans="1:362" s="9" customFormat="1" ht="10.5" customHeight="1" thickBot="1" x14ac:dyDescent="0.3">
      <c r="A29" s="158" t="s">
        <v>532</v>
      </c>
      <c r="B29" s="159"/>
      <c r="C29" s="160">
        <f>SUM(D30:MW30)</f>
        <v>85574.1</v>
      </c>
      <c r="D29" s="134"/>
      <c r="E29" s="134"/>
      <c r="F29" s="134"/>
      <c r="G29" s="134"/>
      <c r="H29" s="134"/>
      <c r="I29" s="134"/>
      <c r="J29" s="134">
        <v>11664</v>
      </c>
      <c r="K29" s="134"/>
      <c r="L29" s="134"/>
      <c r="M29" s="134"/>
      <c r="N29" s="134"/>
      <c r="O29" s="134">
        <v>1244344</v>
      </c>
      <c r="P29" s="134"/>
      <c r="Q29" s="134"/>
      <c r="R29" s="134"/>
      <c r="S29" s="134"/>
      <c r="T29" s="134"/>
      <c r="U29" s="134"/>
      <c r="V29" s="134">
        <v>5184</v>
      </c>
      <c r="W29" s="134">
        <v>648</v>
      </c>
      <c r="X29" s="134"/>
      <c r="Y29" s="134">
        <v>4536</v>
      </c>
      <c r="Z29" s="134">
        <v>33912</v>
      </c>
      <c r="AA29" s="134"/>
      <c r="AB29" s="134">
        <v>62331</v>
      </c>
      <c r="AC29" s="134"/>
      <c r="AD29" s="134"/>
      <c r="AE29" s="134">
        <v>23724</v>
      </c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>
        <v>48308.4</v>
      </c>
      <c r="AS29" s="134">
        <v>50148.800000000003</v>
      </c>
      <c r="AT29" s="134"/>
      <c r="AU29" s="134"/>
      <c r="AV29" s="134"/>
      <c r="AW29" s="134">
        <v>432</v>
      </c>
      <c r="AX29" s="134">
        <v>25128</v>
      </c>
      <c r="AY29" s="134">
        <v>6264</v>
      </c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>
        <v>864</v>
      </c>
      <c r="BM29" s="134">
        <v>12096</v>
      </c>
      <c r="BN29" s="134"/>
      <c r="BO29" s="134"/>
      <c r="BP29" s="134"/>
      <c r="BQ29" s="134">
        <v>17899.2</v>
      </c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>
        <v>20520</v>
      </c>
      <c r="CK29" s="134"/>
      <c r="CL29" s="134"/>
      <c r="CM29" s="134">
        <v>4752</v>
      </c>
      <c r="CN29" s="134"/>
      <c r="CO29" s="134"/>
      <c r="CP29" s="134">
        <v>7776</v>
      </c>
      <c r="CQ29" s="134"/>
      <c r="CR29" s="134"/>
      <c r="CS29" s="134"/>
      <c r="CT29" s="134"/>
      <c r="CU29" s="134"/>
      <c r="CV29" s="134"/>
      <c r="CW29" s="134">
        <v>25488</v>
      </c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>
        <v>69516</v>
      </c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>
        <v>109246.39999999999</v>
      </c>
      <c r="EO29" s="134"/>
      <c r="EP29" s="134"/>
      <c r="EQ29" s="134"/>
      <c r="ER29" s="134"/>
      <c r="ES29" s="134"/>
      <c r="ET29" s="134"/>
      <c r="EU29" s="134"/>
      <c r="EV29" s="134"/>
      <c r="EW29" s="134">
        <v>82224</v>
      </c>
      <c r="EX29" s="134"/>
      <c r="EY29" s="134"/>
      <c r="EZ29" s="134">
        <v>727.2</v>
      </c>
      <c r="FA29" s="134">
        <v>49896</v>
      </c>
      <c r="FB29" s="134"/>
      <c r="FC29" s="134">
        <v>384480.6</v>
      </c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>
        <v>22263</v>
      </c>
      <c r="FR29" s="134"/>
      <c r="FS29" s="134"/>
      <c r="FT29" s="134">
        <v>55296</v>
      </c>
      <c r="FU29" s="134"/>
      <c r="FV29" s="134"/>
      <c r="FW29" s="134"/>
      <c r="FX29" s="134">
        <v>2592</v>
      </c>
      <c r="FY29" s="134"/>
      <c r="FZ29" s="134"/>
      <c r="GA29" s="134">
        <v>432</v>
      </c>
      <c r="GB29" s="134"/>
      <c r="GC29" s="134">
        <v>7848</v>
      </c>
      <c r="GD29" s="134">
        <v>17928</v>
      </c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>
        <v>6480</v>
      </c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>
        <v>648</v>
      </c>
      <c r="IP29" s="134"/>
      <c r="IQ29" s="134"/>
      <c r="IR29" s="134"/>
      <c r="IS29" s="134"/>
      <c r="IT29" s="134"/>
      <c r="IU29" s="134"/>
      <c r="IV29" s="134"/>
      <c r="IW29" s="134">
        <v>45842.400000000001</v>
      </c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>
        <v>1296</v>
      </c>
      <c r="JO29" s="134">
        <v>30794.400000000001</v>
      </c>
      <c r="JP29" s="134"/>
      <c r="JQ29" s="134"/>
      <c r="JR29" s="134"/>
      <c r="JS29" s="134"/>
      <c r="JT29" s="134"/>
      <c r="JU29" s="134"/>
      <c r="JV29" s="134"/>
      <c r="JW29" s="134">
        <v>33768</v>
      </c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>
        <v>857204</v>
      </c>
      <c r="KX29" s="134"/>
      <c r="KY29" s="134"/>
      <c r="KZ29" s="134"/>
      <c r="LA29" s="134"/>
      <c r="LB29" s="134"/>
      <c r="LC29" s="134"/>
      <c r="LD29" s="134"/>
      <c r="LE29" s="134"/>
      <c r="LF29" s="134">
        <v>15091.8</v>
      </c>
      <c r="LG29" s="134">
        <v>5184</v>
      </c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>
        <v>3894</v>
      </c>
      <c r="ML29" s="134">
        <v>24408</v>
      </c>
      <c r="MM29" s="134"/>
      <c r="MN29" s="134">
        <v>7632</v>
      </c>
      <c r="MO29" s="134"/>
      <c r="MP29" s="134"/>
      <c r="MQ29" s="134">
        <v>5184</v>
      </c>
      <c r="MR29" s="134"/>
      <c r="MS29" s="134"/>
      <c r="MT29" s="134"/>
      <c r="MU29" s="134"/>
      <c r="MV29" s="134"/>
      <c r="MW29" s="134"/>
      <c r="MX29" s="135"/>
    </row>
    <row r="30" spans="1:362" ht="11.25" customHeight="1" thickBot="1" x14ac:dyDescent="0.25">
      <c r="A30" s="161" t="s">
        <v>533</v>
      </c>
      <c r="B30" s="162"/>
      <c r="C30" s="161">
        <f>SUM(D31:MW31)</f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>
        <v>46000</v>
      </c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>
        <v>1000</v>
      </c>
      <c r="EH30" s="118"/>
      <c r="EI30" s="118"/>
      <c r="EJ30" s="118"/>
      <c r="EK30" s="118"/>
      <c r="EL30" s="118"/>
      <c r="EM30" s="118"/>
      <c r="EN30" s="118">
        <v>3200</v>
      </c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>
        <v>4000</v>
      </c>
      <c r="FD30" s="118">
        <v>1126.3</v>
      </c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>
        <v>150</v>
      </c>
      <c r="FQ30" s="118"/>
      <c r="FR30" s="118"/>
      <c r="FS30" s="118"/>
      <c r="FT30" s="118">
        <v>2400</v>
      </c>
      <c r="FU30" s="118"/>
      <c r="FV30" s="118">
        <v>30</v>
      </c>
      <c r="FW30" s="118"/>
      <c r="FX30" s="118"/>
      <c r="FY30" s="118"/>
      <c r="FZ30" s="118"/>
      <c r="GA30" s="118"/>
      <c r="GB30" s="118"/>
      <c r="GC30" s="118"/>
      <c r="GD30" s="118">
        <v>1200</v>
      </c>
      <c r="GE30" s="118"/>
      <c r="GF30" s="118"/>
      <c r="GG30" s="118"/>
      <c r="GH30" s="118"/>
      <c r="GI30" s="130">
        <v>5</v>
      </c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  <c r="IW30" s="118"/>
      <c r="IX30" s="118"/>
      <c r="IY30" s="118"/>
      <c r="IZ30" s="118"/>
      <c r="JA30" s="118"/>
      <c r="JB30" s="118"/>
      <c r="JC30" s="118"/>
      <c r="JD30" s="118"/>
      <c r="JE30" s="118"/>
      <c r="JF30" s="118"/>
      <c r="JG30" s="118">
        <v>10000</v>
      </c>
      <c r="JH30" s="118"/>
      <c r="JI30" s="118"/>
      <c r="JJ30" s="118"/>
      <c r="JK30" s="118"/>
      <c r="JL30" s="118"/>
      <c r="JM30" s="118"/>
      <c r="JN30" s="118"/>
      <c r="JO30" s="118"/>
      <c r="JP30" s="118"/>
      <c r="JQ30" s="118"/>
      <c r="JR30" s="118"/>
      <c r="JS30" s="118"/>
      <c r="JT30" s="118"/>
      <c r="JU30" s="118"/>
      <c r="JV30" s="118"/>
      <c r="JW30" s="118"/>
      <c r="JX30" s="118"/>
      <c r="JY30" s="118"/>
      <c r="JZ30" s="118"/>
      <c r="KA30" s="118"/>
      <c r="KB30" s="118"/>
      <c r="KC30" s="118"/>
      <c r="KD30" s="118"/>
      <c r="KE30" s="118"/>
      <c r="KF30" s="118"/>
      <c r="KG30" s="118"/>
      <c r="KH30" s="118"/>
      <c r="KI30" s="118"/>
      <c r="KJ30" s="118"/>
      <c r="KK30" s="118"/>
      <c r="KL30" s="118"/>
      <c r="KM30" s="118"/>
      <c r="KN30" s="118"/>
      <c r="KO30" s="118"/>
      <c r="KP30" s="118"/>
      <c r="KQ30" s="118"/>
      <c r="KR30" s="118"/>
      <c r="KS30" s="118"/>
      <c r="KT30" s="118"/>
      <c r="KU30" s="118"/>
      <c r="KV30" s="118"/>
      <c r="KW30" s="118"/>
      <c r="KX30" s="118"/>
      <c r="KY30" s="118"/>
      <c r="KZ30" s="118"/>
      <c r="LA30" s="118"/>
      <c r="LB30" s="118"/>
      <c r="LC30" s="118"/>
      <c r="LD30" s="118"/>
      <c r="LE30" s="118"/>
      <c r="LF30" s="118">
        <v>14488.8</v>
      </c>
      <c r="LG30" s="118"/>
      <c r="LH30" s="118"/>
      <c r="LI30" s="118"/>
      <c r="LJ30" s="118"/>
      <c r="LK30" s="118"/>
      <c r="LL30" s="118"/>
      <c r="LM30" s="118"/>
      <c r="LN30" s="118"/>
      <c r="LO30" s="118"/>
      <c r="LP30" s="118"/>
      <c r="LQ30" s="118"/>
      <c r="LR30" s="118"/>
      <c r="LS30" s="118"/>
      <c r="LT30" s="118"/>
      <c r="LU30" s="118"/>
      <c r="LV30" s="118"/>
      <c r="LW30" s="118"/>
      <c r="LX30" s="118"/>
      <c r="LY30" s="118"/>
      <c r="LZ30" s="118"/>
      <c r="MA30" s="118"/>
      <c r="MB30" s="118"/>
      <c r="MC30" s="118"/>
      <c r="MD30" s="118"/>
      <c r="ME30" s="118"/>
      <c r="MF30" s="118"/>
      <c r="MG30" s="118"/>
      <c r="MH30" s="118"/>
      <c r="MI30" s="118">
        <v>334</v>
      </c>
      <c r="MJ30" s="118"/>
      <c r="MK30" s="118"/>
      <c r="ML30" s="118">
        <v>1640</v>
      </c>
      <c r="MM30" s="118"/>
      <c r="MN30" s="118"/>
      <c r="MO30" s="118"/>
      <c r="MP30" s="118"/>
      <c r="MQ30" s="118"/>
      <c r="MR30" s="118"/>
      <c r="MS30" s="118"/>
      <c r="MT30" s="118"/>
      <c r="MU30" s="118"/>
      <c r="MV30" s="118"/>
      <c r="MW30" s="118"/>
      <c r="MX30" s="114"/>
    </row>
    <row r="31" spans="1:362" ht="9.75" customHeight="1" thickBot="1" x14ac:dyDescent="0.25">
      <c r="A31" s="155" t="s">
        <v>534</v>
      </c>
      <c r="B31" s="156" t="s">
        <v>27</v>
      </c>
      <c r="C31" s="163">
        <f>C33+C34+C35</f>
        <v>19053619.600000001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/>
      <c r="IY31" s="118"/>
      <c r="IZ31" s="118"/>
      <c r="JA31" s="118"/>
      <c r="JB31" s="118"/>
      <c r="JC31" s="118"/>
      <c r="JD31" s="118"/>
      <c r="JE31" s="118"/>
      <c r="JF31" s="118"/>
      <c r="JG31" s="118"/>
      <c r="JH31" s="118"/>
      <c r="JI31" s="118"/>
      <c r="JJ31" s="118"/>
      <c r="JK31" s="118"/>
      <c r="JL31" s="118"/>
      <c r="JM31" s="118"/>
      <c r="JN31" s="118"/>
      <c r="JO31" s="118"/>
      <c r="JP31" s="118"/>
      <c r="JQ31" s="118"/>
      <c r="JR31" s="118"/>
      <c r="JS31" s="118"/>
      <c r="JT31" s="118"/>
      <c r="JU31" s="118"/>
      <c r="JV31" s="118"/>
      <c r="JW31" s="118"/>
      <c r="JX31" s="118"/>
      <c r="JY31" s="118"/>
      <c r="JZ31" s="118"/>
      <c r="KA31" s="118"/>
      <c r="KB31" s="118"/>
      <c r="KC31" s="118"/>
      <c r="KD31" s="118"/>
      <c r="KE31" s="118"/>
      <c r="KF31" s="118"/>
      <c r="KG31" s="118"/>
      <c r="KH31" s="118"/>
      <c r="KI31" s="118"/>
      <c r="KJ31" s="118"/>
      <c r="KK31" s="118"/>
      <c r="KL31" s="118"/>
      <c r="KM31" s="118"/>
      <c r="KN31" s="118"/>
      <c r="KO31" s="118"/>
      <c r="KP31" s="118"/>
      <c r="KQ31" s="118"/>
      <c r="KR31" s="118"/>
      <c r="KS31" s="118"/>
      <c r="KT31" s="118"/>
      <c r="KU31" s="118"/>
      <c r="KV31" s="118"/>
      <c r="KW31" s="118"/>
      <c r="KX31" s="118"/>
      <c r="KY31" s="118"/>
      <c r="KZ31" s="118"/>
      <c r="LA31" s="118"/>
      <c r="LB31" s="118"/>
      <c r="LC31" s="118"/>
      <c r="LD31" s="118"/>
      <c r="LE31" s="118"/>
      <c r="LF31" s="118"/>
      <c r="LG31" s="118"/>
      <c r="LH31" s="118"/>
      <c r="LI31" s="118"/>
      <c r="LJ31" s="118"/>
      <c r="LK31" s="118"/>
      <c r="LL31" s="118"/>
      <c r="LM31" s="118"/>
      <c r="LN31" s="118"/>
      <c r="LO31" s="118"/>
      <c r="LP31" s="118"/>
      <c r="LQ31" s="118"/>
      <c r="LR31" s="118"/>
      <c r="LS31" s="118"/>
      <c r="LT31" s="118"/>
      <c r="LU31" s="118"/>
      <c r="LV31" s="118"/>
      <c r="LW31" s="118"/>
      <c r="LX31" s="118"/>
      <c r="LY31" s="118"/>
      <c r="LZ31" s="118"/>
      <c r="MA31" s="118"/>
      <c r="MB31" s="118"/>
      <c r="MC31" s="118"/>
      <c r="MD31" s="118"/>
      <c r="ME31" s="118"/>
      <c r="MF31" s="118"/>
      <c r="MG31" s="118"/>
      <c r="MH31" s="118"/>
      <c r="MI31" s="118"/>
      <c r="MJ31" s="118"/>
      <c r="MK31" s="118"/>
      <c r="ML31" s="118"/>
      <c r="MM31" s="118"/>
      <c r="MN31" s="118"/>
      <c r="MO31" s="118"/>
      <c r="MP31" s="118"/>
      <c r="MQ31" s="118"/>
      <c r="MR31" s="118"/>
      <c r="MS31" s="118"/>
      <c r="MT31" s="118"/>
      <c r="MU31" s="118"/>
      <c r="MV31" s="118"/>
      <c r="MW31" s="118"/>
      <c r="MX31" s="114"/>
    </row>
    <row r="32" spans="1:362" s="3" customFormat="1" ht="10.5" customHeight="1" thickBot="1" x14ac:dyDescent="0.25">
      <c r="A32" s="158" t="s">
        <v>535</v>
      </c>
      <c r="B32" s="159"/>
      <c r="C32" s="160">
        <f>SUM(D33:MW33)</f>
        <v>437</v>
      </c>
      <c r="D32" s="137">
        <f>D33+D34+D35</f>
        <v>0</v>
      </c>
      <c r="E32" s="137">
        <f t="shared" ref="E32:BP32" si="22">E33+E34+E35</f>
        <v>0</v>
      </c>
      <c r="F32" s="137">
        <f t="shared" si="22"/>
        <v>0</v>
      </c>
      <c r="G32" s="137">
        <f t="shared" si="22"/>
        <v>0</v>
      </c>
      <c r="H32" s="137">
        <f t="shared" si="22"/>
        <v>0</v>
      </c>
      <c r="I32" s="137">
        <f t="shared" si="22"/>
        <v>0</v>
      </c>
      <c r="J32" s="137">
        <f t="shared" si="22"/>
        <v>0</v>
      </c>
      <c r="K32" s="137">
        <f t="shared" si="22"/>
        <v>52</v>
      </c>
      <c r="L32" s="137">
        <f t="shared" si="22"/>
        <v>0</v>
      </c>
      <c r="M32" s="137">
        <f t="shared" si="22"/>
        <v>12</v>
      </c>
      <c r="N32" s="137">
        <f t="shared" si="22"/>
        <v>296.2</v>
      </c>
      <c r="O32" s="137">
        <f t="shared" si="22"/>
        <v>3506.8</v>
      </c>
      <c r="P32" s="137">
        <f t="shared" si="22"/>
        <v>0</v>
      </c>
      <c r="Q32" s="137">
        <f t="shared" si="22"/>
        <v>0</v>
      </c>
      <c r="R32" s="137">
        <f t="shared" si="22"/>
        <v>0</v>
      </c>
      <c r="S32" s="137">
        <f t="shared" si="22"/>
        <v>0</v>
      </c>
      <c r="T32" s="137">
        <f t="shared" si="22"/>
        <v>0</v>
      </c>
      <c r="U32" s="137">
        <f t="shared" si="22"/>
        <v>18</v>
      </c>
      <c r="V32" s="137">
        <f t="shared" si="22"/>
        <v>539.79999999999995</v>
      </c>
      <c r="W32" s="137">
        <f t="shared" si="22"/>
        <v>0</v>
      </c>
      <c r="X32" s="137">
        <f t="shared" si="22"/>
        <v>0</v>
      </c>
      <c r="Y32" s="137">
        <f t="shared" si="22"/>
        <v>158.6</v>
      </c>
      <c r="Z32" s="137">
        <f t="shared" si="22"/>
        <v>0</v>
      </c>
      <c r="AA32" s="137">
        <f t="shared" si="22"/>
        <v>0</v>
      </c>
      <c r="AB32" s="137">
        <f t="shared" si="22"/>
        <v>0</v>
      </c>
      <c r="AC32" s="137">
        <f t="shared" si="22"/>
        <v>0</v>
      </c>
      <c r="AD32" s="137">
        <f t="shared" si="22"/>
        <v>0</v>
      </c>
      <c r="AE32" s="137">
        <f t="shared" si="22"/>
        <v>55.2</v>
      </c>
      <c r="AF32" s="137">
        <f t="shared" si="22"/>
        <v>0</v>
      </c>
      <c r="AG32" s="137">
        <f t="shared" si="22"/>
        <v>401.6</v>
      </c>
      <c r="AH32" s="137">
        <f t="shared" si="22"/>
        <v>0</v>
      </c>
      <c r="AI32" s="137">
        <f t="shared" si="22"/>
        <v>0</v>
      </c>
      <c r="AJ32" s="137">
        <f t="shared" si="22"/>
        <v>0</v>
      </c>
      <c r="AK32" s="137">
        <f t="shared" si="22"/>
        <v>0</v>
      </c>
      <c r="AL32" s="137">
        <f t="shared" si="22"/>
        <v>0</v>
      </c>
      <c r="AM32" s="137">
        <f t="shared" si="22"/>
        <v>0</v>
      </c>
      <c r="AN32" s="137">
        <f t="shared" si="22"/>
        <v>0</v>
      </c>
      <c r="AO32" s="137">
        <f t="shared" si="22"/>
        <v>0</v>
      </c>
      <c r="AP32" s="137">
        <f t="shared" si="22"/>
        <v>0</v>
      </c>
      <c r="AQ32" s="137">
        <f t="shared" si="22"/>
        <v>0</v>
      </c>
      <c r="AR32" s="137">
        <f t="shared" si="22"/>
        <v>4753.1000000000004</v>
      </c>
      <c r="AS32" s="137">
        <f t="shared" si="22"/>
        <v>1229.3</v>
      </c>
      <c r="AT32" s="137">
        <f t="shared" si="22"/>
        <v>7</v>
      </c>
      <c r="AU32" s="137">
        <f t="shared" si="22"/>
        <v>0</v>
      </c>
      <c r="AV32" s="137">
        <f t="shared" si="22"/>
        <v>7</v>
      </c>
      <c r="AW32" s="137">
        <f t="shared" si="22"/>
        <v>8</v>
      </c>
      <c r="AX32" s="137">
        <f t="shared" si="22"/>
        <v>1822.7</v>
      </c>
      <c r="AY32" s="137">
        <f t="shared" si="22"/>
        <v>0</v>
      </c>
      <c r="AZ32" s="137">
        <f t="shared" si="22"/>
        <v>0</v>
      </c>
      <c r="BA32" s="137">
        <f t="shared" si="22"/>
        <v>21</v>
      </c>
      <c r="BB32" s="137">
        <f t="shared" si="22"/>
        <v>0</v>
      </c>
      <c r="BC32" s="137">
        <f t="shared" si="22"/>
        <v>0</v>
      </c>
      <c r="BD32" s="137">
        <f t="shared" si="22"/>
        <v>0</v>
      </c>
      <c r="BE32" s="137">
        <f t="shared" si="22"/>
        <v>0</v>
      </c>
      <c r="BF32" s="137">
        <f t="shared" si="22"/>
        <v>0</v>
      </c>
      <c r="BG32" s="137">
        <f t="shared" si="22"/>
        <v>0</v>
      </c>
      <c r="BH32" s="137">
        <f t="shared" si="22"/>
        <v>0</v>
      </c>
      <c r="BI32" s="137">
        <f t="shared" si="22"/>
        <v>0</v>
      </c>
      <c r="BJ32" s="137">
        <f t="shared" si="22"/>
        <v>0</v>
      </c>
      <c r="BK32" s="137">
        <f t="shared" si="22"/>
        <v>0</v>
      </c>
      <c r="BL32" s="137">
        <f t="shared" si="22"/>
        <v>33</v>
      </c>
      <c r="BM32" s="137">
        <f t="shared" si="22"/>
        <v>572</v>
      </c>
      <c r="BN32" s="137">
        <f t="shared" si="22"/>
        <v>0</v>
      </c>
      <c r="BO32" s="137">
        <f t="shared" si="22"/>
        <v>0</v>
      </c>
      <c r="BP32" s="137">
        <f t="shared" si="22"/>
        <v>0</v>
      </c>
      <c r="BQ32" s="137">
        <f t="shared" ref="BQ32:EA32" si="23">BQ33+BQ34+BQ35</f>
        <v>0</v>
      </c>
      <c r="BR32" s="137">
        <f t="shared" si="23"/>
        <v>0</v>
      </c>
      <c r="BS32" s="137">
        <f t="shared" si="23"/>
        <v>0</v>
      </c>
      <c r="BT32" s="137">
        <f t="shared" si="23"/>
        <v>0</v>
      </c>
      <c r="BU32" s="137">
        <f t="shared" si="23"/>
        <v>0</v>
      </c>
      <c r="BV32" s="137">
        <f t="shared" si="23"/>
        <v>0</v>
      </c>
      <c r="BW32" s="137">
        <f t="shared" si="23"/>
        <v>0</v>
      </c>
      <c r="BX32" s="137">
        <f t="shared" si="23"/>
        <v>0</v>
      </c>
      <c r="BY32" s="137">
        <f t="shared" si="23"/>
        <v>0</v>
      </c>
      <c r="BZ32" s="137">
        <f t="shared" si="23"/>
        <v>0</v>
      </c>
      <c r="CA32" s="137">
        <f t="shared" si="23"/>
        <v>0</v>
      </c>
      <c r="CB32" s="137">
        <f t="shared" si="23"/>
        <v>0</v>
      </c>
      <c r="CC32" s="137">
        <f t="shared" si="23"/>
        <v>0</v>
      </c>
      <c r="CD32" s="137">
        <f t="shared" si="23"/>
        <v>0</v>
      </c>
      <c r="CE32" s="137">
        <f t="shared" si="23"/>
        <v>0</v>
      </c>
      <c r="CF32" s="137">
        <f t="shared" si="23"/>
        <v>0</v>
      </c>
      <c r="CG32" s="137">
        <f t="shared" si="23"/>
        <v>0</v>
      </c>
      <c r="CH32" s="137">
        <f t="shared" si="23"/>
        <v>7</v>
      </c>
      <c r="CI32" s="137">
        <f t="shared" si="23"/>
        <v>0</v>
      </c>
      <c r="CJ32" s="137">
        <f t="shared" si="23"/>
        <v>1150.5999999999999</v>
      </c>
      <c r="CK32" s="137">
        <f t="shared" si="23"/>
        <v>0</v>
      </c>
      <c r="CL32" s="137">
        <f t="shared" si="23"/>
        <v>114.6</v>
      </c>
      <c r="CM32" s="137">
        <f t="shared" si="23"/>
        <v>2711487.9</v>
      </c>
      <c r="CN32" s="137">
        <f t="shared" si="23"/>
        <v>0</v>
      </c>
      <c r="CO32" s="137">
        <f t="shared" si="23"/>
        <v>0</v>
      </c>
      <c r="CP32" s="137">
        <f t="shared" si="23"/>
        <v>95.4</v>
      </c>
      <c r="CQ32" s="137">
        <f t="shared" si="23"/>
        <v>0</v>
      </c>
      <c r="CR32" s="137">
        <f t="shared" si="23"/>
        <v>0</v>
      </c>
      <c r="CS32" s="137">
        <f t="shared" si="23"/>
        <v>133.80000000000001</v>
      </c>
      <c r="CT32" s="137">
        <f t="shared" si="23"/>
        <v>0</v>
      </c>
      <c r="CU32" s="137">
        <f t="shared" si="23"/>
        <v>18.2</v>
      </c>
      <c r="CV32" s="137">
        <f t="shared" si="23"/>
        <v>0</v>
      </c>
      <c r="CW32" s="137">
        <f t="shared" si="23"/>
        <v>149</v>
      </c>
      <c r="CX32" s="137">
        <f t="shared" si="23"/>
        <v>0</v>
      </c>
      <c r="CY32" s="137">
        <f t="shared" si="23"/>
        <v>0</v>
      </c>
      <c r="CZ32" s="137">
        <f t="shared" si="23"/>
        <v>0</v>
      </c>
      <c r="DA32" s="137">
        <f t="shared" si="23"/>
        <v>0</v>
      </c>
      <c r="DB32" s="137">
        <f t="shared" si="23"/>
        <v>0</v>
      </c>
      <c r="DC32" s="137">
        <f t="shared" si="23"/>
        <v>0</v>
      </c>
      <c r="DD32" s="137">
        <f t="shared" si="23"/>
        <v>0</v>
      </c>
      <c r="DE32" s="137">
        <f t="shared" si="23"/>
        <v>0</v>
      </c>
      <c r="DF32" s="137">
        <f t="shared" si="23"/>
        <v>0</v>
      </c>
      <c r="DG32" s="137">
        <f t="shared" si="23"/>
        <v>0</v>
      </c>
      <c r="DH32" s="137">
        <f t="shared" si="23"/>
        <v>0</v>
      </c>
      <c r="DI32" s="137">
        <f t="shared" si="23"/>
        <v>0</v>
      </c>
      <c r="DJ32" s="137">
        <f t="shared" si="23"/>
        <v>0</v>
      </c>
      <c r="DK32" s="137">
        <f t="shared" si="23"/>
        <v>300</v>
      </c>
      <c r="DL32" s="137">
        <f t="shared" si="23"/>
        <v>10</v>
      </c>
      <c r="DM32" s="137">
        <f t="shared" si="23"/>
        <v>0</v>
      </c>
      <c r="DN32" s="137">
        <f t="shared" si="23"/>
        <v>0</v>
      </c>
      <c r="DO32" s="137">
        <f t="shared" si="23"/>
        <v>0</v>
      </c>
      <c r="DP32" s="137">
        <f t="shared" si="23"/>
        <v>83.3</v>
      </c>
      <c r="DQ32" s="137">
        <f t="shared" si="23"/>
        <v>1106</v>
      </c>
      <c r="DR32" s="137">
        <f t="shared" si="23"/>
        <v>0</v>
      </c>
      <c r="DS32" s="137">
        <f t="shared" si="23"/>
        <v>23</v>
      </c>
      <c r="DT32" s="137">
        <f t="shared" si="23"/>
        <v>43.6</v>
      </c>
      <c r="DU32" s="137">
        <f t="shared" si="23"/>
        <v>0</v>
      </c>
      <c r="DV32" s="137">
        <f t="shared" si="23"/>
        <v>0</v>
      </c>
      <c r="DW32" s="137">
        <f t="shared" si="23"/>
        <v>0</v>
      </c>
      <c r="DX32" s="137">
        <f t="shared" si="23"/>
        <v>0</v>
      </c>
      <c r="DY32" s="137">
        <f t="shared" si="23"/>
        <v>0</v>
      </c>
      <c r="DZ32" s="137">
        <f t="shared" si="23"/>
        <v>15.2</v>
      </c>
      <c r="EA32" s="137">
        <f t="shared" si="23"/>
        <v>0</v>
      </c>
      <c r="EB32" s="137">
        <f t="shared" ref="EB32:GD32" si="24">EB33+EB34+EB35</f>
        <v>35.6</v>
      </c>
      <c r="EC32" s="137">
        <f t="shared" si="24"/>
        <v>0</v>
      </c>
      <c r="ED32" s="137">
        <f t="shared" si="24"/>
        <v>0</v>
      </c>
      <c r="EE32" s="137">
        <f t="shared" si="24"/>
        <v>0</v>
      </c>
      <c r="EF32" s="137">
        <f t="shared" si="24"/>
        <v>213</v>
      </c>
      <c r="EG32" s="137">
        <f t="shared" si="24"/>
        <v>0</v>
      </c>
      <c r="EH32" s="137">
        <f t="shared" si="24"/>
        <v>0</v>
      </c>
      <c r="EI32" s="137">
        <f t="shared" si="24"/>
        <v>17.8</v>
      </c>
      <c r="EJ32" s="137">
        <f t="shared" si="24"/>
        <v>0</v>
      </c>
      <c r="EK32" s="137">
        <f t="shared" si="24"/>
        <v>0</v>
      </c>
      <c r="EL32" s="137">
        <f t="shared" si="24"/>
        <v>15.2</v>
      </c>
      <c r="EM32" s="137">
        <f t="shared" si="24"/>
        <v>0</v>
      </c>
      <c r="EN32" s="137">
        <f t="shared" si="24"/>
        <v>2334</v>
      </c>
      <c r="EO32" s="137">
        <f t="shared" si="24"/>
        <v>0</v>
      </c>
      <c r="EP32" s="137">
        <f t="shared" si="24"/>
        <v>140.19999999999999</v>
      </c>
      <c r="EQ32" s="137">
        <f t="shared" si="24"/>
        <v>0</v>
      </c>
      <c r="ER32" s="137">
        <f t="shared" si="24"/>
        <v>0</v>
      </c>
      <c r="ES32" s="137">
        <f t="shared" si="24"/>
        <v>0</v>
      </c>
      <c r="ET32" s="137">
        <f t="shared" si="24"/>
        <v>0</v>
      </c>
      <c r="EU32" s="137">
        <f t="shared" si="24"/>
        <v>0</v>
      </c>
      <c r="EV32" s="137">
        <f t="shared" si="24"/>
        <v>0</v>
      </c>
      <c r="EW32" s="137">
        <f t="shared" si="24"/>
        <v>4122.3</v>
      </c>
      <c r="EX32" s="137">
        <f t="shared" si="24"/>
        <v>0</v>
      </c>
      <c r="EY32" s="137">
        <f t="shared" si="24"/>
        <v>51.4</v>
      </c>
      <c r="EZ32" s="137">
        <f t="shared" si="24"/>
        <v>0</v>
      </c>
      <c r="FA32" s="137">
        <f t="shared" si="24"/>
        <v>90.2</v>
      </c>
      <c r="FB32" s="137">
        <f t="shared" si="24"/>
        <v>0</v>
      </c>
      <c r="FC32" s="137">
        <f t="shared" si="24"/>
        <v>8437.3000000000011</v>
      </c>
      <c r="FD32" s="137">
        <f t="shared" si="24"/>
        <v>0</v>
      </c>
      <c r="FE32" s="137">
        <f t="shared" si="24"/>
        <v>0</v>
      </c>
      <c r="FF32" s="137">
        <f t="shared" si="24"/>
        <v>0</v>
      </c>
      <c r="FG32" s="137">
        <f t="shared" si="24"/>
        <v>0</v>
      </c>
      <c r="FH32" s="137">
        <f t="shared" si="24"/>
        <v>0</v>
      </c>
      <c r="FI32" s="137">
        <f t="shared" si="24"/>
        <v>0</v>
      </c>
      <c r="FJ32" s="137">
        <f t="shared" si="24"/>
        <v>0</v>
      </c>
      <c r="FK32" s="137">
        <f t="shared" si="24"/>
        <v>190.2</v>
      </c>
      <c r="FL32" s="137">
        <f t="shared" si="24"/>
        <v>5</v>
      </c>
      <c r="FM32" s="137">
        <f t="shared" si="24"/>
        <v>1120.5999999999999</v>
      </c>
      <c r="FN32" s="137">
        <f t="shared" si="24"/>
        <v>0</v>
      </c>
      <c r="FO32" s="137">
        <f t="shared" si="24"/>
        <v>0</v>
      </c>
      <c r="FP32" s="137">
        <f t="shared" si="24"/>
        <v>0</v>
      </c>
      <c r="FQ32" s="137">
        <f t="shared" si="24"/>
        <v>8288.4</v>
      </c>
      <c r="FR32" s="137">
        <f t="shared" si="24"/>
        <v>20782.400000000001</v>
      </c>
      <c r="FS32" s="137">
        <f t="shared" si="24"/>
        <v>111.2</v>
      </c>
      <c r="FT32" s="137">
        <f t="shared" si="24"/>
        <v>1164921.8999999999</v>
      </c>
      <c r="FU32" s="137">
        <f t="shared" si="24"/>
        <v>59</v>
      </c>
      <c r="FV32" s="137">
        <f t="shared" si="24"/>
        <v>62.8</v>
      </c>
      <c r="FW32" s="137">
        <f t="shared" si="24"/>
        <v>0</v>
      </c>
      <c r="FX32" s="137">
        <f t="shared" si="24"/>
        <v>522.6</v>
      </c>
      <c r="FY32" s="137">
        <f t="shared" si="24"/>
        <v>0</v>
      </c>
      <c r="FZ32" s="137">
        <f t="shared" si="24"/>
        <v>0</v>
      </c>
      <c r="GA32" s="137">
        <f t="shared" si="24"/>
        <v>29.6</v>
      </c>
      <c r="GB32" s="137">
        <f t="shared" si="24"/>
        <v>0</v>
      </c>
      <c r="GC32" s="137">
        <f t="shared" si="24"/>
        <v>0</v>
      </c>
      <c r="GD32" s="137">
        <f t="shared" si="24"/>
        <v>2180.4</v>
      </c>
      <c r="GE32" s="137">
        <f>GE33+GE34+GE35</f>
        <v>0</v>
      </c>
      <c r="GF32" s="137">
        <f>GF33+GF34+GF35</f>
        <v>0</v>
      </c>
      <c r="GG32" s="137">
        <f>GG33+GG34+GG35</f>
        <v>0</v>
      </c>
      <c r="GH32" s="137">
        <f t="shared" ref="GH32:IQ32" si="25">GH33+GH34+GH35</f>
        <v>15.4</v>
      </c>
      <c r="GI32" s="137">
        <f t="shared" si="25"/>
        <v>2185</v>
      </c>
      <c r="GJ32" s="137">
        <f t="shared" si="25"/>
        <v>0</v>
      </c>
      <c r="GK32" s="137">
        <f t="shared" si="25"/>
        <v>0</v>
      </c>
      <c r="GL32" s="137">
        <f t="shared" si="25"/>
        <v>0</v>
      </c>
      <c r="GM32" s="137">
        <f t="shared" si="25"/>
        <v>0</v>
      </c>
      <c r="GN32" s="137">
        <f t="shared" si="25"/>
        <v>98.4</v>
      </c>
      <c r="GO32" s="137">
        <f t="shared" si="25"/>
        <v>0</v>
      </c>
      <c r="GP32" s="137">
        <f t="shared" si="25"/>
        <v>0</v>
      </c>
      <c r="GQ32" s="137">
        <f t="shared" si="25"/>
        <v>21</v>
      </c>
      <c r="GR32" s="137">
        <f t="shared" si="25"/>
        <v>0</v>
      </c>
      <c r="GS32" s="137">
        <f t="shared" si="25"/>
        <v>0</v>
      </c>
      <c r="GT32" s="137">
        <f t="shared" si="25"/>
        <v>0</v>
      </c>
      <c r="GU32" s="137">
        <f t="shared" si="25"/>
        <v>0</v>
      </c>
      <c r="GV32" s="137">
        <f t="shared" si="25"/>
        <v>0</v>
      </c>
      <c r="GW32" s="137">
        <f t="shared" si="25"/>
        <v>0</v>
      </c>
      <c r="GX32" s="137">
        <f t="shared" si="25"/>
        <v>0</v>
      </c>
      <c r="GY32" s="137">
        <f t="shared" si="25"/>
        <v>0</v>
      </c>
      <c r="GZ32" s="137">
        <f t="shared" si="25"/>
        <v>0</v>
      </c>
      <c r="HA32" s="137">
        <f t="shared" si="25"/>
        <v>0</v>
      </c>
      <c r="HB32" s="137">
        <f t="shared" si="25"/>
        <v>0</v>
      </c>
      <c r="HC32" s="137">
        <f t="shared" si="25"/>
        <v>0</v>
      </c>
      <c r="HD32" s="137">
        <f t="shared" si="25"/>
        <v>0</v>
      </c>
      <c r="HE32" s="137">
        <f t="shared" si="25"/>
        <v>0</v>
      </c>
      <c r="HF32" s="137">
        <f t="shared" si="25"/>
        <v>0</v>
      </c>
      <c r="HG32" s="137">
        <f t="shared" si="25"/>
        <v>0</v>
      </c>
      <c r="HH32" s="137">
        <f t="shared" si="25"/>
        <v>0</v>
      </c>
      <c r="HI32" s="137">
        <f t="shared" si="25"/>
        <v>0</v>
      </c>
      <c r="HJ32" s="137">
        <f t="shared" si="25"/>
        <v>0</v>
      </c>
      <c r="HK32" s="137">
        <f t="shared" si="25"/>
        <v>0</v>
      </c>
      <c r="HL32" s="137">
        <f t="shared" si="25"/>
        <v>0</v>
      </c>
      <c r="HM32" s="137">
        <f t="shared" si="25"/>
        <v>0</v>
      </c>
      <c r="HN32" s="137">
        <f t="shared" si="25"/>
        <v>67.900000000000006</v>
      </c>
      <c r="HO32" s="137">
        <f t="shared" si="25"/>
        <v>0</v>
      </c>
      <c r="HP32" s="137">
        <f t="shared" si="25"/>
        <v>0</v>
      </c>
      <c r="HQ32" s="137">
        <f t="shared" si="25"/>
        <v>0</v>
      </c>
      <c r="HR32" s="137">
        <f t="shared" si="25"/>
        <v>0</v>
      </c>
      <c r="HS32" s="137">
        <f t="shared" si="25"/>
        <v>267.60000000000002</v>
      </c>
      <c r="HT32" s="137">
        <f t="shared" si="25"/>
        <v>0</v>
      </c>
      <c r="HU32" s="137">
        <f t="shared" si="25"/>
        <v>0</v>
      </c>
      <c r="HV32" s="137">
        <f t="shared" si="25"/>
        <v>0</v>
      </c>
      <c r="HW32" s="137">
        <f t="shared" si="25"/>
        <v>0</v>
      </c>
      <c r="HX32" s="137">
        <f t="shared" si="25"/>
        <v>0</v>
      </c>
      <c r="HY32" s="137">
        <f t="shared" si="25"/>
        <v>0</v>
      </c>
      <c r="HZ32" s="137">
        <f t="shared" si="25"/>
        <v>0</v>
      </c>
      <c r="IA32" s="137">
        <f t="shared" si="25"/>
        <v>0</v>
      </c>
      <c r="IB32" s="137">
        <f t="shared" si="25"/>
        <v>90.8</v>
      </c>
      <c r="IC32" s="137">
        <f t="shared" si="25"/>
        <v>0</v>
      </c>
      <c r="ID32" s="137">
        <f t="shared" si="25"/>
        <v>320</v>
      </c>
      <c r="IE32" s="137">
        <f t="shared" si="25"/>
        <v>0</v>
      </c>
      <c r="IF32" s="137">
        <f t="shared" si="25"/>
        <v>0</v>
      </c>
      <c r="IG32" s="137">
        <f t="shared" si="25"/>
        <v>0</v>
      </c>
      <c r="IH32" s="137">
        <f t="shared" si="25"/>
        <v>0</v>
      </c>
      <c r="II32" s="137">
        <f t="shared" si="25"/>
        <v>0</v>
      </c>
      <c r="IJ32" s="137">
        <f t="shared" si="25"/>
        <v>0</v>
      </c>
      <c r="IK32" s="137">
        <f t="shared" si="25"/>
        <v>0</v>
      </c>
      <c r="IL32" s="137">
        <f t="shared" si="25"/>
        <v>0</v>
      </c>
      <c r="IM32" s="137">
        <f t="shared" si="25"/>
        <v>0</v>
      </c>
      <c r="IN32" s="137">
        <f t="shared" si="25"/>
        <v>0</v>
      </c>
      <c r="IO32" s="137">
        <f t="shared" si="25"/>
        <v>0</v>
      </c>
      <c r="IP32" s="137">
        <f t="shared" si="25"/>
        <v>0</v>
      </c>
      <c r="IQ32" s="137">
        <f t="shared" si="25"/>
        <v>0</v>
      </c>
      <c r="IR32" s="137">
        <f t="shared" ref="IR32:KM32" si="26">IR33+IR34+IR35</f>
        <v>0</v>
      </c>
      <c r="IS32" s="137">
        <f t="shared" si="26"/>
        <v>0</v>
      </c>
      <c r="IT32" s="137">
        <f t="shared" si="26"/>
        <v>0</v>
      </c>
      <c r="IU32" s="137">
        <f t="shared" si="26"/>
        <v>7</v>
      </c>
      <c r="IV32" s="137">
        <f t="shared" si="26"/>
        <v>0</v>
      </c>
      <c r="IW32" s="137">
        <f t="shared" si="26"/>
        <v>0</v>
      </c>
      <c r="IX32" s="137">
        <f t="shared" si="26"/>
        <v>0</v>
      </c>
      <c r="IY32" s="137">
        <f t="shared" si="26"/>
        <v>0</v>
      </c>
      <c r="IZ32" s="137">
        <f t="shared" si="26"/>
        <v>0</v>
      </c>
      <c r="JA32" s="137">
        <f t="shared" si="26"/>
        <v>39.6</v>
      </c>
      <c r="JB32" s="137">
        <f t="shared" si="26"/>
        <v>0</v>
      </c>
      <c r="JC32" s="137">
        <f t="shared" si="26"/>
        <v>0</v>
      </c>
      <c r="JD32" s="137">
        <f t="shared" si="26"/>
        <v>0</v>
      </c>
      <c r="JE32" s="137">
        <f t="shared" si="26"/>
        <v>0</v>
      </c>
      <c r="JF32" s="137">
        <f t="shared" si="26"/>
        <v>0</v>
      </c>
      <c r="JG32" s="137">
        <f t="shared" si="26"/>
        <v>0</v>
      </c>
      <c r="JH32" s="137">
        <f t="shared" si="26"/>
        <v>0</v>
      </c>
      <c r="JI32" s="137">
        <f t="shared" si="26"/>
        <v>0</v>
      </c>
      <c r="JJ32" s="137">
        <f t="shared" si="26"/>
        <v>0</v>
      </c>
      <c r="JK32" s="137">
        <f t="shared" si="26"/>
        <v>0</v>
      </c>
      <c r="JL32" s="137">
        <f t="shared" si="26"/>
        <v>0</v>
      </c>
      <c r="JM32" s="137">
        <f t="shared" si="26"/>
        <v>0</v>
      </c>
      <c r="JN32" s="137">
        <f t="shared" si="26"/>
        <v>0</v>
      </c>
      <c r="JO32" s="137">
        <f t="shared" si="26"/>
        <v>691.8</v>
      </c>
      <c r="JP32" s="137">
        <f t="shared" si="26"/>
        <v>0</v>
      </c>
      <c r="JQ32" s="137">
        <f t="shared" si="26"/>
        <v>0</v>
      </c>
      <c r="JR32" s="137">
        <f t="shared" si="26"/>
        <v>0</v>
      </c>
      <c r="JS32" s="137">
        <f t="shared" si="26"/>
        <v>0</v>
      </c>
      <c r="JT32" s="137">
        <f t="shared" si="26"/>
        <v>0</v>
      </c>
      <c r="JU32" s="137">
        <f t="shared" si="26"/>
        <v>0</v>
      </c>
      <c r="JV32" s="137">
        <f t="shared" si="26"/>
        <v>25</v>
      </c>
      <c r="JW32" s="137">
        <f t="shared" si="26"/>
        <v>0</v>
      </c>
      <c r="JX32" s="137">
        <f t="shared" si="26"/>
        <v>0</v>
      </c>
      <c r="JY32" s="137">
        <f t="shared" si="26"/>
        <v>0</v>
      </c>
      <c r="JZ32" s="137">
        <f t="shared" si="26"/>
        <v>0</v>
      </c>
      <c r="KA32" s="137">
        <f t="shared" si="26"/>
        <v>8.1999999999999993</v>
      </c>
      <c r="KB32" s="137">
        <f t="shared" si="26"/>
        <v>0</v>
      </c>
      <c r="KC32" s="137">
        <f t="shared" si="26"/>
        <v>15</v>
      </c>
      <c r="KD32" s="137">
        <f t="shared" si="26"/>
        <v>0</v>
      </c>
      <c r="KE32" s="137">
        <f t="shared" si="26"/>
        <v>0</v>
      </c>
      <c r="KF32" s="137">
        <f t="shared" si="26"/>
        <v>0</v>
      </c>
      <c r="KG32" s="137">
        <f t="shared" si="26"/>
        <v>0</v>
      </c>
      <c r="KH32" s="137">
        <f t="shared" si="26"/>
        <v>0</v>
      </c>
      <c r="KI32" s="137">
        <f t="shared" si="26"/>
        <v>0</v>
      </c>
      <c r="KJ32" s="137">
        <f t="shared" si="26"/>
        <v>0</v>
      </c>
      <c r="KK32" s="137">
        <f t="shared" si="26"/>
        <v>0</v>
      </c>
      <c r="KL32" s="137">
        <f t="shared" si="26"/>
        <v>0</v>
      </c>
      <c r="KM32" s="137">
        <f t="shared" si="26"/>
        <v>0</v>
      </c>
      <c r="KN32" s="137">
        <f t="shared" ref="KN32:LB32" si="27">KN33+KN34+KN35</f>
        <v>0</v>
      </c>
      <c r="KO32" s="137">
        <f t="shared" si="27"/>
        <v>0</v>
      </c>
      <c r="KP32" s="137">
        <f t="shared" si="27"/>
        <v>0</v>
      </c>
      <c r="KQ32" s="137">
        <f t="shared" si="27"/>
        <v>0</v>
      </c>
      <c r="KR32" s="137">
        <f t="shared" si="27"/>
        <v>100</v>
      </c>
      <c r="KS32" s="137">
        <f t="shared" si="27"/>
        <v>0</v>
      </c>
      <c r="KT32" s="137">
        <f t="shared" si="27"/>
        <v>0</v>
      </c>
      <c r="KU32" s="137">
        <f t="shared" si="27"/>
        <v>0</v>
      </c>
      <c r="KV32" s="137">
        <f t="shared" si="27"/>
        <v>0</v>
      </c>
      <c r="KW32" s="137">
        <f t="shared" si="27"/>
        <v>0</v>
      </c>
      <c r="KX32" s="137">
        <f t="shared" si="27"/>
        <v>0</v>
      </c>
      <c r="KY32" s="137">
        <f t="shared" si="27"/>
        <v>0</v>
      </c>
      <c r="KZ32" s="137">
        <f t="shared" si="27"/>
        <v>0</v>
      </c>
      <c r="LA32" s="137">
        <f t="shared" si="27"/>
        <v>0</v>
      </c>
      <c r="LB32" s="137">
        <f t="shared" si="27"/>
        <v>0</v>
      </c>
      <c r="LC32" s="137">
        <f t="shared" ref="LC32:MW32" si="28">LC33+LC34+LC35</f>
        <v>0</v>
      </c>
      <c r="LD32" s="137">
        <f t="shared" si="28"/>
        <v>0</v>
      </c>
      <c r="LE32" s="137">
        <f t="shared" si="28"/>
        <v>0</v>
      </c>
      <c r="LF32" s="137">
        <f t="shared" si="28"/>
        <v>2395494.3999999999</v>
      </c>
      <c r="LG32" s="137">
        <f t="shared" si="28"/>
        <v>43.4</v>
      </c>
      <c r="LH32" s="137">
        <f t="shared" si="28"/>
        <v>0</v>
      </c>
      <c r="LI32" s="137">
        <f t="shared" si="28"/>
        <v>0</v>
      </c>
      <c r="LJ32" s="137">
        <f t="shared" si="28"/>
        <v>0</v>
      </c>
      <c r="LK32" s="137">
        <f t="shared" si="28"/>
        <v>11.8</v>
      </c>
      <c r="LL32" s="137">
        <f t="shared" si="28"/>
        <v>0</v>
      </c>
      <c r="LM32" s="137">
        <f t="shared" si="28"/>
        <v>0</v>
      </c>
      <c r="LN32" s="137">
        <f t="shared" si="28"/>
        <v>0</v>
      </c>
      <c r="LO32" s="137">
        <f t="shared" si="28"/>
        <v>0</v>
      </c>
      <c r="LP32" s="137">
        <f t="shared" si="28"/>
        <v>0</v>
      </c>
      <c r="LQ32" s="137">
        <f t="shared" si="28"/>
        <v>0</v>
      </c>
      <c r="LR32" s="137">
        <f t="shared" si="28"/>
        <v>0</v>
      </c>
      <c r="LS32" s="137">
        <f t="shared" si="28"/>
        <v>0</v>
      </c>
      <c r="LT32" s="137">
        <f t="shared" si="28"/>
        <v>0</v>
      </c>
      <c r="LU32" s="137">
        <f t="shared" si="28"/>
        <v>0</v>
      </c>
      <c r="LV32" s="137">
        <f t="shared" si="28"/>
        <v>0</v>
      </c>
      <c r="LW32" s="137">
        <f t="shared" si="28"/>
        <v>0</v>
      </c>
      <c r="LX32" s="137">
        <f t="shared" si="28"/>
        <v>45</v>
      </c>
      <c r="LY32" s="137">
        <f t="shared" si="28"/>
        <v>0</v>
      </c>
      <c r="LZ32" s="137">
        <f t="shared" si="28"/>
        <v>0</v>
      </c>
      <c r="MA32" s="137">
        <f t="shared" si="28"/>
        <v>0</v>
      </c>
      <c r="MB32" s="137">
        <f t="shared" si="28"/>
        <v>0</v>
      </c>
      <c r="MC32" s="137">
        <f t="shared" si="28"/>
        <v>0</v>
      </c>
      <c r="MD32" s="137">
        <f t="shared" si="28"/>
        <v>0</v>
      </c>
      <c r="ME32" s="137">
        <f t="shared" si="28"/>
        <v>258</v>
      </c>
      <c r="MF32" s="137">
        <f t="shared" si="28"/>
        <v>0</v>
      </c>
      <c r="MG32" s="137">
        <f t="shared" si="28"/>
        <v>0</v>
      </c>
      <c r="MH32" s="137">
        <f t="shared" si="28"/>
        <v>0</v>
      </c>
      <c r="MI32" s="137">
        <f t="shared" si="28"/>
        <v>65.2</v>
      </c>
      <c r="MJ32" s="137">
        <f t="shared" si="28"/>
        <v>0</v>
      </c>
      <c r="MK32" s="137">
        <f t="shared" si="28"/>
        <v>7</v>
      </c>
      <c r="ML32" s="137">
        <f t="shared" si="28"/>
        <v>3676348.4</v>
      </c>
      <c r="MM32" s="137">
        <f t="shared" si="28"/>
        <v>7</v>
      </c>
      <c r="MN32" s="137">
        <f t="shared" si="28"/>
        <v>0</v>
      </c>
      <c r="MO32" s="137">
        <f t="shared" si="28"/>
        <v>0</v>
      </c>
      <c r="MP32" s="137">
        <f t="shared" si="28"/>
        <v>0</v>
      </c>
      <c r="MQ32" s="137">
        <f t="shared" si="28"/>
        <v>7</v>
      </c>
      <c r="MR32" s="137">
        <f t="shared" si="28"/>
        <v>0</v>
      </c>
      <c r="MS32" s="137">
        <f t="shared" si="28"/>
        <v>0</v>
      </c>
      <c r="MT32" s="137">
        <f t="shared" si="28"/>
        <v>0</v>
      </c>
      <c r="MU32" s="137">
        <f t="shared" si="28"/>
        <v>7</v>
      </c>
      <c r="MV32" s="137">
        <f t="shared" si="28"/>
        <v>0</v>
      </c>
      <c r="MW32" s="137">
        <f t="shared" si="28"/>
        <v>15.2</v>
      </c>
      <c r="MX32" s="124"/>
    </row>
    <row r="33" spans="1:362" ht="19.5" customHeight="1" thickBot="1" x14ac:dyDescent="0.25">
      <c r="A33" s="158" t="s">
        <v>536</v>
      </c>
      <c r="B33" s="159"/>
      <c r="C33" s="160">
        <f>SUM(D34:MW34)</f>
        <v>10903.6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>
        <v>300</v>
      </c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>
        <v>137</v>
      </c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  <c r="IW33" s="138"/>
      <c r="IX33" s="138"/>
      <c r="IY33" s="138"/>
      <c r="IZ33" s="138"/>
      <c r="JA33" s="138"/>
      <c r="JB33" s="138"/>
      <c r="JC33" s="138"/>
      <c r="JD33" s="138"/>
      <c r="JE33" s="138"/>
      <c r="JF33" s="138"/>
      <c r="JG33" s="138"/>
      <c r="JH33" s="138"/>
      <c r="JI33" s="138"/>
      <c r="JJ33" s="138"/>
      <c r="JK33" s="138"/>
      <c r="JL33" s="138"/>
      <c r="JM33" s="138"/>
      <c r="JN33" s="138"/>
      <c r="JO33" s="138"/>
      <c r="JP33" s="138"/>
      <c r="JQ33" s="138"/>
      <c r="JR33" s="138"/>
      <c r="JS33" s="138"/>
      <c r="JT33" s="138"/>
      <c r="JU33" s="138"/>
      <c r="JV33" s="138"/>
      <c r="JW33" s="138"/>
      <c r="JX33" s="138"/>
      <c r="JY33" s="138"/>
      <c r="JZ33" s="138"/>
      <c r="KA33" s="138"/>
      <c r="KB33" s="138"/>
      <c r="KC33" s="138"/>
      <c r="KD33" s="138"/>
      <c r="KE33" s="138"/>
      <c r="KF33" s="138"/>
      <c r="KG33" s="138"/>
      <c r="KH33" s="138"/>
      <c r="KI33" s="138"/>
      <c r="KJ33" s="138"/>
      <c r="KK33" s="138"/>
      <c r="KL33" s="138"/>
      <c r="KM33" s="138"/>
      <c r="KN33" s="138"/>
      <c r="KO33" s="138"/>
      <c r="KP33" s="138"/>
      <c r="KQ33" s="138"/>
      <c r="KR33" s="138"/>
      <c r="KS33" s="138"/>
      <c r="KT33" s="138"/>
      <c r="KU33" s="138"/>
      <c r="KV33" s="138"/>
      <c r="KW33" s="138"/>
      <c r="KX33" s="138"/>
      <c r="KY33" s="138"/>
      <c r="KZ33" s="138"/>
      <c r="LA33" s="138"/>
      <c r="LB33" s="138"/>
      <c r="LC33" s="138"/>
      <c r="LD33" s="138"/>
      <c r="LE33" s="138"/>
      <c r="LF33" s="138"/>
      <c r="LG33" s="138"/>
      <c r="LH33" s="138"/>
      <c r="LI33" s="138"/>
      <c r="LJ33" s="138"/>
      <c r="LK33" s="138"/>
      <c r="LL33" s="138"/>
      <c r="LM33" s="138"/>
      <c r="LN33" s="138"/>
      <c r="LO33" s="138"/>
      <c r="LP33" s="138"/>
      <c r="LQ33" s="138"/>
      <c r="LR33" s="138"/>
      <c r="LS33" s="138"/>
      <c r="LT33" s="138"/>
      <c r="LU33" s="138"/>
      <c r="LV33" s="138"/>
      <c r="LW33" s="138"/>
      <c r="LX33" s="138"/>
      <c r="LY33" s="138"/>
      <c r="LZ33" s="138"/>
      <c r="MA33" s="138"/>
      <c r="MB33" s="138"/>
      <c r="MC33" s="138"/>
      <c r="MD33" s="138"/>
      <c r="ME33" s="138"/>
      <c r="MF33" s="138"/>
      <c r="MG33" s="138"/>
      <c r="MH33" s="138"/>
      <c r="MI33" s="138"/>
      <c r="MJ33" s="138"/>
      <c r="MK33" s="138"/>
      <c r="ML33" s="138"/>
      <c r="MM33" s="138"/>
      <c r="MN33" s="138"/>
      <c r="MO33" s="138"/>
      <c r="MP33" s="138"/>
      <c r="MQ33" s="138"/>
      <c r="MR33" s="138"/>
      <c r="MS33" s="138"/>
      <c r="MT33" s="138"/>
      <c r="MU33" s="138"/>
      <c r="MV33" s="138"/>
      <c r="MW33" s="138"/>
      <c r="MX33" s="114"/>
    </row>
    <row r="34" spans="1:362" ht="19.5" customHeight="1" thickBot="1" x14ac:dyDescent="0.25">
      <c r="A34" s="161" t="s">
        <v>537</v>
      </c>
      <c r="B34" s="160"/>
      <c r="C34" s="160">
        <f>SUM(D35:MW35)</f>
        <v>10006883.5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>
        <v>3781.5</v>
      </c>
      <c r="EX34" s="138"/>
      <c r="EY34" s="138"/>
      <c r="EZ34" s="138"/>
      <c r="FA34" s="138"/>
      <c r="FB34" s="138"/>
      <c r="FC34" s="138">
        <v>6807.1</v>
      </c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>
        <v>315</v>
      </c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  <c r="IW34" s="138"/>
      <c r="IX34" s="138"/>
      <c r="IY34" s="138"/>
      <c r="IZ34" s="138"/>
      <c r="JA34" s="138"/>
      <c r="JB34" s="138"/>
      <c r="JC34" s="138"/>
      <c r="JD34" s="138"/>
      <c r="JE34" s="138"/>
      <c r="JF34" s="138"/>
      <c r="JG34" s="138"/>
      <c r="JH34" s="138"/>
      <c r="JI34" s="138"/>
      <c r="JJ34" s="138"/>
      <c r="JK34" s="138"/>
      <c r="JL34" s="138"/>
      <c r="JM34" s="138"/>
      <c r="JN34" s="138"/>
      <c r="JO34" s="138"/>
      <c r="JP34" s="138"/>
      <c r="JQ34" s="138"/>
      <c r="JR34" s="138"/>
      <c r="JS34" s="138"/>
      <c r="JT34" s="138"/>
      <c r="JU34" s="138"/>
      <c r="JV34" s="138"/>
      <c r="JW34" s="138"/>
      <c r="JX34" s="138"/>
      <c r="JY34" s="138"/>
      <c r="JZ34" s="138"/>
      <c r="KA34" s="138"/>
      <c r="KB34" s="138"/>
      <c r="KC34" s="138"/>
      <c r="KD34" s="138"/>
      <c r="KE34" s="138"/>
      <c r="KF34" s="138"/>
      <c r="KG34" s="138"/>
      <c r="KH34" s="138"/>
      <c r="KI34" s="138"/>
      <c r="KJ34" s="138"/>
      <c r="KK34" s="138"/>
      <c r="KL34" s="138"/>
      <c r="KM34" s="138"/>
      <c r="KN34" s="138"/>
      <c r="KO34" s="138"/>
      <c r="KP34" s="138"/>
      <c r="KQ34" s="138"/>
      <c r="KR34" s="138"/>
      <c r="KS34" s="138"/>
      <c r="KT34" s="138"/>
      <c r="KU34" s="138"/>
      <c r="KV34" s="138"/>
      <c r="KW34" s="138"/>
      <c r="KX34" s="138"/>
      <c r="KY34" s="138"/>
      <c r="KZ34" s="138"/>
      <c r="LA34" s="138"/>
      <c r="LB34" s="138"/>
      <c r="LC34" s="138"/>
      <c r="LD34" s="138"/>
      <c r="LE34" s="138"/>
      <c r="LF34" s="138"/>
      <c r="LG34" s="138"/>
      <c r="LH34" s="138"/>
      <c r="LI34" s="138"/>
      <c r="LJ34" s="138"/>
      <c r="LK34" s="138"/>
      <c r="LL34" s="138"/>
      <c r="LM34" s="138"/>
      <c r="LN34" s="138"/>
      <c r="LO34" s="138"/>
      <c r="LP34" s="138"/>
      <c r="LQ34" s="138"/>
      <c r="LR34" s="138"/>
      <c r="LS34" s="138"/>
      <c r="LT34" s="138"/>
      <c r="LU34" s="138"/>
      <c r="LV34" s="138"/>
      <c r="LW34" s="138"/>
      <c r="LX34" s="138"/>
      <c r="LY34" s="138"/>
      <c r="LZ34" s="138"/>
      <c r="MA34" s="138"/>
      <c r="MB34" s="138"/>
      <c r="MC34" s="138"/>
      <c r="MD34" s="138"/>
      <c r="ME34" s="138"/>
      <c r="MF34" s="138"/>
      <c r="MG34" s="138"/>
      <c r="MH34" s="138"/>
      <c r="MI34" s="138"/>
      <c r="MJ34" s="138"/>
      <c r="MK34" s="138"/>
      <c r="ML34" s="138"/>
      <c r="MM34" s="138"/>
      <c r="MN34" s="138"/>
      <c r="MO34" s="138"/>
      <c r="MP34" s="138"/>
      <c r="MQ34" s="138"/>
      <c r="MR34" s="138"/>
      <c r="MS34" s="138"/>
      <c r="MT34" s="138"/>
      <c r="MU34" s="138"/>
      <c r="MV34" s="138"/>
      <c r="MW34" s="138"/>
      <c r="MX34" s="114"/>
    </row>
    <row r="35" spans="1:362" s="10" customFormat="1" ht="11.25" customHeight="1" thickBot="1" x14ac:dyDescent="0.3">
      <c r="A35" s="155" t="s">
        <v>538</v>
      </c>
      <c r="B35" s="156" t="s">
        <v>31</v>
      </c>
      <c r="C35" s="160">
        <f>SUM(D36:MW36)</f>
        <v>9035832.5</v>
      </c>
      <c r="D35" s="139"/>
      <c r="E35" s="139"/>
      <c r="F35" s="139"/>
      <c r="G35" s="139"/>
      <c r="H35" s="139"/>
      <c r="I35" s="139"/>
      <c r="J35" s="139"/>
      <c r="K35" s="139">
        <v>52</v>
      </c>
      <c r="L35" s="139"/>
      <c r="M35" s="139">
        <v>12</v>
      </c>
      <c r="N35" s="139">
        <v>296.2</v>
      </c>
      <c r="O35" s="139">
        <v>3506.8</v>
      </c>
      <c r="P35" s="139"/>
      <c r="Q35" s="139"/>
      <c r="R35" s="139"/>
      <c r="S35" s="139"/>
      <c r="T35" s="139"/>
      <c r="U35" s="139">
        <v>18</v>
      </c>
      <c r="V35" s="139">
        <v>539.79999999999995</v>
      </c>
      <c r="W35" s="139"/>
      <c r="X35" s="139"/>
      <c r="Y35" s="139">
        <v>158.6</v>
      </c>
      <c r="Z35" s="139"/>
      <c r="AA35" s="139"/>
      <c r="AB35" s="139"/>
      <c r="AC35" s="139"/>
      <c r="AD35" s="139"/>
      <c r="AE35" s="139">
        <v>55.2</v>
      </c>
      <c r="AF35" s="139"/>
      <c r="AG35" s="139">
        <v>401.6</v>
      </c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>
        <v>4753.1000000000004</v>
      </c>
      <c r="AS35" s="139">
        <v>1229.3</v>
      </c>
      <c r="AT35" s="139">
        <v>7</v>
      </c>
      <c r="AU35" s="139"/>
      <c r="AV35" s="139">
        <v>7</v>
      </c>
      <c r="AW35" s="139">
        <v>8</v>
      </c>
      <c r="AX35" s="139">
        <v>1822.7</v>
      </c>
      <c r="AY35" s="139"/>
      <c r="AZ35" s="139"/>
      <c r="BA35" s="139">
        <v>21</v>
      </c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>
        <v>33</v>
      </c>
      <c r="BM35" s="139">
        <v>572</v>
      </c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>
        <v>7</v>
      </c>
      <c r="CI35" s="139"/>
      <c r="CJ35" s="139">
        <v>1150.5999999999999</v>
      </c>
      <c r="CK35" s="139"/>
      <c r="CL35" s="139">
        <v>114.6</v>
      </c>
      <c r="CM35" s="139">
        <v>2711487.9</v>
      </c>
      <c r="CN35" s="139"/>
      <c r="CO35" s="139"/>
      <c r="CP35" s="139">
        <v>95.4</v>
      </c>
      <c r="CQ35" s="139"/>
      <c r="CR35" s="139"/>
      <c r="CS35" s="139">
        <v>133.80000000000001</v>
      </c>
      <c r="CT35" s="139"/>
      <c r="CU35" s="139">
        <v>18.2</v>
      </c>
      <c r="CV35" s="139"/>
      <c r="CW35" s="139">
        <v>149</v>
      </c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>
        <v>10</v>
      </c>
      <c r="DM35" s="139"/>
      <c r="DN35" s="139"/>
      <c r="DO35" s="139"/>
      <c r="DP35" s="139">
        <v>83.3</v>
      </c>
      <c r="DQ35" s="139">
        <v>1106</v>
      </c>
      <c r="DR35" s="139"/>
      <c r="DS35" s="139">
        <v>23</v>
      </c>
      <c r="DT35" s="139">
        <v>43.6</v>
      </c>
      <c r="DU35" s="139"/>
      <c r="DV35" s="139"/>
      <c r="DW35" s="139"/>
      <c r="DX35" s="139"/>
      <c r="DY35" s="139"/>
      <c r="DZ35" s="139">
        <v>15.2</v>
      </c>
      <c r="EA35" s="139"/>
      <c r="EB35" s="139">
        <v>35.6</v>
      </c>
      <c r="EC35" s="139"/>
      <c r="ED35" s="139"/>
      <c r="EE35" s="139"/>
      <c r="EF35" s="139">
        <v>213</v>
      </c>
      <c r="EG35" s="139"/>
      <c r="EH35" s="139"/>
      <c r="EI35" s="139">
        <v>17.8</v>
      </c>
      <c r="EJ35" s="139"/>
      <c r="EK35" s="139"/>
      <c r="EL35" s="139">
        <v>15.2</v>
      </c>
      <c r="EM35" s="139"/>
      <c r="EN35" s="139">
        <v>2334</v>
      </c>
      <c r="EO35" s="139"/>
      <c r="EP35" s="139">
        <v>140.19999999999999</v>
      </c>
      <c r="EQ35" s="139"/>
      <c r="ER35" s="139"/>
      <c r="ES35" s="139"/>
      <c r="ET35" s="139"/>
      <c r="EU35" s="139"/>
      <c r="EV35" s="139"/>
      <c r="EW35" s="139">
        <v>340.8</v>
      </c>
      <c r="EX35" s="139"/>
      <c r="EY35" s="139">
        <v>51.4</v>
      </c>
      <c r="EZ35" s="139"/>
      <c r="FA35" s="139">
        <v>90.2</v>
      </c>
      <c r="FB35" s="139"/>
      <c r="FC35" s="139">
        <v>1630.2</v>
      </c>
      <c r="FD35" s="139"/>
      <c r="FE35" s="139"/>
      <c r="FF35" s="139"/>
      <c r="FG35" s="139"/>
      <c r="FH35" s="139"/>
      <c r="FI35" s="139"/>
      <c r="FJ35" s="139"/>
      <c r="FK35" s="139">
        <v>190.2</v>
      </c>
      <c r="FL35" s="139">
        <v>5</v>
      </c>
      <c r="FM35" s="139">
        <v>1120.5999999999999</v>
      </c>
      <c r="FN35" s="139"/>
      <c r="FO35" s="139"/>
      <c r="FP35" s="139"/>
      <c r="FQ35" s="139">
        <v>8288.4</v>
      </c>
      <c r="FR35" s="139">
        <v>20782.400000000001</v>
      </c>
      <c r="FS35" s="139">
        <v>111.2</v>
      </c>
      <c r="FT35" s="139">
        <v>1164921.8999999999</v>
      </c>
      <c r="FU35" s="139">
        <v>59</v>
      </c>
      <c r="FV35" s="139">
        <v>62.8</v>
      </c>
      <c r="FW35" s="139"/>
      <c r="FX35" s="139">
        <v>70.599999999999994</v>
      </c>
      <c r="FY35" s="139"/>
      <c r="FZ35" s="139"/>
      <c r="GA35" s="139">
        <v>29.6</v>
      </c>
      <c r="GB35" s="139"/>
      <c r="GC35" s="139"/>
      <c r="GD35" s="139">
        <v>2180.4</v>
      </c>
      <c r="GE35" s="139"/>
      <c r="GF35" s="139"/>
      <c r="GG35" s="139"/>
      <c r="GH35" s="139">
        <v>15.4</v>
      </c>
      <c r="GI35" s="139">
        <v>2185</v>
      </c>
      <c r="GJ35" s="139"/>
      <c r="GK35" s="139"/>
      <c r="GL35" s="139"/>
      <c r="GM35" s="139"/>
      <c r="GN35" s="139">
        <v>98.4</v>
      </c>
      <c r="GO35" s="139"/>
      <c r="GP35" s="139"/>
      <c r="GQ35" s="139">
        <v>21</v>
      </c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>
        <v>67.900000000000006</v>
      </c>
      <c r="HO35" s="139"/>
      <c r="HP35" s="139"/>
      <c r="HQ35" s="139"/>
      <c r="HR35" s="139"/>
      <c r="HS35" s="139">
        <v>267.60000000000002</v>
      </c>
      <c r="HT35" s="139"/>
      <c r="HU35" s="139"/>
      <c r="HV35" s="139"/>
      <c r="HW35" s="139"/>
      <c r="HX35" s="139"/>
      <c r="HY35" s="139"/>
      <c r="HZ35" s="139"/>
      <c r="IA35" s="139"/>
      <c r="IB35" s="139">
        <v>90.8</v>
      </c>
      <c r="IC35" s="139"/>
      <c r="ID35" s="139">
        <v>320</v>
      </c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139">
        <v>7</v>
      </c>
      <c r="IV35" s="139"/>
      <c r="IW35" s="139"/>
      <c r="IX35" s="139"/>
      <c r="IY35" s="139"/>
      <c r="IZ35" s="139"/>
      <c r="JA35" s="139">
        <v>39.6</v>
      </c>
      <c r="JB35" s="139"/>
      <c r="JC35" s="139"/>
      <c r="JD35" s="139"/>
      <c r="JE35" s="139"/>
      <c r="JF35" s="139"/>
      <c r="JG35" s="139"/>
      <c r="JH35" s="139"/>
      <c r="JI35" s="139"/>
      <c r="JJ35" s="139"/>
      <c r="JK35" s="139"/>
      <c r="JL35" s="139"/>
      <c r="JM35" s="139"/>
      <c r="JN35" s="139"/>
      <c r="JO35" s="139">
        <v>691.8</v>
      </c>
      <c r="JP35" s="139"/>
      <c r="JQ35" s="139"/>
      <c r="JR35" s="139"/>
      <c r="JS35" s="139"/>
      <c r="JT35" s="139"/>
      <c r="JU35" s="139"/>
      <c r="JV35" s="139">
        <v>25</v>
      </c>
      <c r="JW35" s="139"/>
      <c r="JX35" s="139"/>
      <c r="JY35" s="139"/>
      <c r="JZ35" s="139"/>
      <c r="KA35" s="139">
        <v>8.1999999999999993</v>
      </c>
      <c r="KB35" s="139"/>
      <c r="KC35" s="139">
        <v>15</v>
      </c>
      <c r="KD35" s="139"/>
      <c r="KE35" s="139"/>
      <c r="KF35" s="139"/>
      <c r="KG35" s="139"/>
      <c r="KH35" s="139"/>
      <c r="KI35" s="139"/>
      <c r="KJ35" s="139"/>
      <c r="KK35" s="139"/>
      <c r="KL35" s="139"/>
      <c r="KM35" s="139"/>
      <c r="KN35" s="139"/>
      <c r="KO35" s="139"/>
      <c r="KP35" s="139"/>
      <c r="KQ35" s="139"/>
      <c r="KR35" s="139">
        <v>100</v>
      </c>
      <c r="KS35" s="139"/>
      <c r="KT35" s="139"/>
      <c r="KU35" s="139"/>
      <c r="KV35" s="139"/>
      <c r="KW35" s="139"/>
      <c r="KX35" s="139"/>
      <c r="KY35" s="139"/>
      <c r="KZ35" s="139"/>
      <c r="LA35" s="139"/>
      <c r="LB35" s="139"/>
      <c r="LC35" s="139"/>
      <c r="LD35" s="139"/>
      <c r="LE35" s="139"/>
      <c r="LF35" s="139">
        <v>2395494.3999999999</v>
      </c>
      <c r="LG35" s="139">
        <v>43.4</v>
      </c>
      <c r="LH35" s="139"/>
      <c r="LI35" s="139"/>
      <c r="LJ35" s="139"/>
      <c r="LK35" s="139">
        <v>11.8</v>
      </c>
      <c r="LL35" s="139"/>
      <c r="LM35" s="139"/>
      <c r="LN35" s="139"/>
      <c r="LO35" s="139"/>
      <c r="LP35" s="139"/>
      <c r="LQ35" s="139"/>
      <c r="LR35" s="139"/>
      <c r="LS35" s="139"/>
      <c r="LT35" s="139"/>
      <c r="LU35" s="139"/>
      <c r="LV35" s="139"/>
      <c r="LW35" s="139"/>
      <c r="LX35" s="139">
        <v>45</v>
      </c>
      <c r="LY35" s="139"/>
      <c r="LZ35" s="139"/>
      <c r="MA35" s="139"/>
      <c r="MB35" s="139"/>
      <c r="MC35" s="139"/>
      <c r="MD35" s="139"/>
      <c r="ME35" s="139">
        <v>258</v>
      </c>
      <c r="MF35" s="139"/>
      <c r="MG35" s="139"/>
      <c r="MH35" s="139"/>
      <c r="MI35" s="139">
        <v>65.2</v>
      </c>
      <c r="MJ35" s="139"/>
      <c r="MK35" s="139">
        <v>7</v>
      </c>
      <c r="ML35" s="139">
        <v>3676348.4</v>
      </c>
      <c r="MM35" s="139">
        <v>7</v>
      </c>
      <c r="MN35" s="139"/>
      <c r="MO35" s="139"/>
      <c r="MP35" s="139"/>
      <c r="MQ35" s="139">
        <v>7</v>
      </c>
      <c r="MR35" s="139"/>
      <c r="MS35" s="139"/>
      <c r="MT35" s="139"/>
      <c r="MU35" s="139">
        <v>7</v>
      </c>
      <c r="MV35" s="139"/>
      <c r="MW35" s="139">
        <v>15.2</v>
      </c>
      <c r="MX35" s="140"/>
    </row>
    <row r="36" spans="1:362" s="3" customFormat="1" ht="10.5" customHeight="1" thickBot="1" x14ac:dyDescent="0.25">
      <c r="A36" s="158" t="s">
        <v>539</v>
      </c>
      <c r="B36" s="159"/>
      <c r="C36" s="160">
        <f>SUM(D37:MW37)</f>
        <v>9035832.5</v>
      </c>
      <c r="D36" s="137">
        <f>D37+D38</f>
        <v>0</v>
      </c>
      <c r="E36" s="137">
        <f t="shared" ref="E36:BP36" si="29">E37+E38</f>
        <v>0</v>
      </c>
      <c r="F36" s="137">
        <f t="shared" si="29"/>
        <v>0</v>
      </c>
      <c r="G36" s="137">
        <f t="shared" si="29"/>
        <v>0</v>
      </c>
      <c r="H36" s="137">
        <f t="shared" si="29"/>
        <v>0</v>
      </c>
      <c r="I36" s="137">
        <f t="shared" si="29"/>
        <v>0</v>
      </c>
      <c r="J36" s="137">
        <f t="shared" si="29"/>
        <v>0</v>
      </c>
      <c r="K36" s="137">
        <f t="shared" si="29"/>
        <v>0</v>
      </c>
      <c r="L36" s="137">
        <f t="shared" si="29"/>
        <v>0</v>
      </c>
      <c r="M36" s="137">
        <f t="shared" si="29"/>
        <v>0</v>
      </c>
      <c r="N36" s="137">
        <f t="shared" si="29"/>
        <v>0</v>
      </c>
      <c r="O36" s="137">
        <f t="shared" si="29"/>
        <v>0</v>
      </c>
      <c r="P36" s="137">
        <f t="shared" si="29"/>
        <v>0</v>
      </c>
      <c r="Q36" s="137">
        <f t="shared" si="29"/>
        <v>0</v>
      </c>
      <c r="R36" s="137">
        <f t="shared" si="29"/>
        <v>0</v>
      </c>
      <c r="S36" s="137">
        <f t="shared" si="29"/>
        <v>0</v>
      </c>
      <c r="T36" s="137">
        <f t="shared" si="29"/>
        <v>0</v>
      </c>
      <c r="U36" s="137">
        <f t="shared" si="29"/>
        <v>0</v>
      </c>
      <c r="V36" s="137">
        <f t="shared" si="29"/>
        <v>0</v>
      </c>
      <c r="W36" s="137">
        <f t="shared" si="29"/>
        <v>0</v>
      </c>
      <c r="X36" s="137">
        <f t="shared" si="29"/>
        <v>0</v>
      </c>
      <c r="Y36" s="137">
        <f t="shared" si="29"/>
        <v>0</v>
      </c>
      <c r="Z36" s="137">
        <f t="shared" si="29"/>
        <v>0</v>
      </c>
      <c r="AA36" s="137">
        <f t="shared" si="29"/>
        <v>0</v>
      </c>
      <c r="AB36" s="137">
        <f t="shared" si="29"/>
        <v>0</v>
      </c>
      <c r="AC36" s="137">
        <f t="shared" si="29"/>
        <v>0</v>
      </c>
      <c r="AD36" s="137">
        <f t="shared" si="29"/>
        <v>0</v>
      </c>
      <c r="AE36" s="137">
        <f t="shared" si="29"/>
        <v>0</v>
      </c>
      <c r="AF36" s="137">
        <f t="shared" si="29"/>
        <v>0</v>
      </c>
      <c r="AG36" s="137">
        <f t="shared" si="29"/>
        <v>0</v>
      </c>
      <c r="AH36" s="137">
        <f t="shared" si="29"/>
        <v>0</v>
      </c>
      <c r="AI36" s="137">
        <f t="shared" si="29"/>
        <v>0</v>
      </c>
      <c r="AJ36" s="137">
        <f t="shared" si="29"/>
        <v>0</v>
      </c>
      <c r="AK36" s="137">
        <f t="shared" si="29"/>
        <v>0</v>
      </c>
      <c r="AL36" s="137">
        <f t="shared" si="29"/>
        <v>0</v>
      </c>
      <c r="AM36" s="137">
        <f t="shared" si="29"/>
        <v>0</v>
      </c>
      <c r="AN36" s="137">
        <f t="shared" si="29"/>
        <v>0</v>
      </c>
      <c r="AO36" s="137">
        <f t="shared" si="29"/>
        <v>0</v>
      </c>
      <c r="AP36" s="137">
        <f t="shared" si="29"/>
        <v>0</v>
      </c>
      <c r="AQ36" s="137">
        <f t="shared" si="29"/>
        <v>0</v>
      </c>
      <c r="AR36" s="137">
        <f t="shared" si="29"/>
        <v>0</v>
      </c>
      <c r="AS36" s="137">
        <f t="shared" si="29"/>
        <v>0</v>
      </c>
      <c r="AT36" s="137">
        <f t="shared" si="29"/>
        <v>0</v>
      </c>
      <c r="AU36" s="137">
        <f t="shared" si="29"/>
        <v>0</v>
      </c>
      <c r="AV36" s="137">
        <f t="shared" si="29"/>
        <v>0</v>
      </c>
      <c r="AW36" s="137">
        <f t="shared" si="29"/>
        <v>0</v>
      </c>
      <c r="AX36" s="137">
        <f t="shared" si="29"/>
        <v>0</v>
      </c>
      <c r="AY36" s="137">
        <f t="shared" si="29"/>
        <v>0</v>
      </c>
      <c r="AZ36" s="137">
        <f t="shared" si="29"/>
        <v>0</v>
      </c>
      <c r="BA36" s="137">
        <f t="shared" si="29"/>
        <v>0</v>
      </c>
      <c r="BB36" s="137">
        <f t="shared" si="29"/>
        <v>0</v>
      </c>
      <c r="BC36" s="137">
        <f t="shared" si="29"/>
        <v>0</v>
      </c>
      <c r="BD36" s="137">
        <f t="shared" si="29"/>
        <v>0</v>
      </c>
      <c r="BE36" s="137">
        <f t="shared" si="29"/>
        <v>0</v>
      </c>
      <c r="BF36" s="137">
        <f t="shared" si="29"/>
        <v>0</v>
      </c>
      <c r="BG36" s="137">
        <f t="shared" si="29"/>
        <v>0</v>
      </c>
      <c r="BH36" s="137">
        <f t="shared" si="29"/>
        <v>0</v>
      </c>
      <c r="BI36" s="137">
        <f t="shared" si="29"/>
        <v>0</v>
      </c>
      <c r="BJ36" s="137">
        <f t="shared" si="29"/>
        <v>0</v>
      </c>
      <c r="BK36" s="137">
        <f t="shared" si="29"/>
        <v>0</v>
      </c>
      <c r="BL36" s="137">
        <f t="shared" si="29"/>
        <v>0</v>
      </c>
      <c r="BM36" s="137">
        <f t="shared" si="29"/>
        <v>0</v>
      </c>
      <c r="BN36" s="137">
        <f t="shared" si="29"/>
        <v>0</v>
      </c>
      <c r="BO36" s="137">
        <f t="shared" si="29"/>
        <v>0</v>
      </c>
      <c r="BP36" s="137">
        <f t="shared" si="29"/>
        <v>0</v>
      </c>
      <c r="BQ36" s="137">
        <f t="shared" ref="BQ36:EA36" si="30">BQ37+BQ38</f>
        <v>0</v>
      </c>
      <c r="BR36" s="137">
        <f t="shared" si="30"/>
        <v>0</v>
      </c>
      <c r="BS36" s="137">
        <f t="shared" si="30"/>
        <v>0</v>
      </c>
      <c r="BT36" s="137">
        <f t="shared" si="30"/>
        <v>0</v>
      </c>
      <c r="BU36" s="137">
        <f t="shared" si="30"/>
        <v>0</v>
      </c>
      <c r="BV36" s="137">
        <f t="shared" si="30"/>
        <v>0</v>
      </c>
      <c r="BW36" s="137">
        <f t="shared" si="30"/>
        <v>0</v>
      </c>
      <c r="BX36" s="137">
        <f t="shared" si="30"/>
        <v>0</v>
      </c>
      <c r="BY36" s="137">
        <f t="shared" si="30"/>
        <v>0</v>
      </c>
      <c r="BZ36" s="137">
        <f t="shared" si="30"/>
        <v>0</v>
      </c>
      <c r="CA36" s="137">
        <f t="shared" si="30"/>
        <v>0</v>
      </c>
      <c r="CB36" s="137">
        <f t="shared" si="30"/>
        <v>0</v>
      </c>
      <c r="CC36" s="137">
        <f t="shared" si="30"/>
        <v>0</v>
      </c>
      <c r="CD36" s="137">
        <f t="shared" si="30"/>
        <v>0</v>
      </c>
      <c r="CE36" s="137">
        <f t="shared" si="30"/>
        <v>0</v>
      </c>
      <c r="CF36" s="137">
        <f t="shared" si="30"/>
        <v>0</v>
      </c>
      <c r="CG36" s="137">
        <f t="shared" si="30"/>
        <v>0</v>
      </c>
      <c r="CH36" s="137">
        <f t="shared" si="30"/>
        <v>0</v>
      </c>
      <c r="CI36" s="137">
        <f t="shared" si="30"/>
        <v>0</v>
      </c>
      <c r="CJ36" s="137">
        <f t="shared" si="30"/>
        <v>0</v>
      </c>
      <c r="CK36" s="137">
        <f t="shared" si="30"/>
        <v>0</v>
      </c>
      <c r="CL36" s="137">
        <f t="shared" si="30"/>
        <v>0</v>
      </c>
      <c r="CM36" s="137">
        <f t="shared" si="30"/>
        <v>0</v>
      </c>
      <c r="CN36" s="137">
        <f t="shared" si="30"/>
        <v>0</v>
      </c>
      <c r="CO36" s="137">
        <f t="shared" si="30"/>
        <v>0</v>
      </c>
      <c r="CP36" s="137">
        <f t="shared" si="30"/>
        <v>0</v>
      </c>
      <c r="CQ36" s="137">
        <f t="shared" si="30"/>
        <v>0</v>
      </c>
      <c r="CR36" s="137">
        <f t="shared" si="30"/>
        <v>0</v>
      </c>
      <c r="CS36" s="137">
        <f t="shared" si="30"/>
        <v>0</v>
      </c>
      <c r="CT36" s="137">
        <f t="shared" si="30"/>
        <v>0</v>
      </c>
      <c r="CU36" s="137">
        <f t="shared" si="30"/>
        <v>0</v>
      </c>
      <c r="CV36" s="137">
        <f t="shared" si="30"/>
        <v>0</v>
      </c>
      <c r="CW36" s="137">
        <f t="shared" si="30"/>
        <v>0</v>
      </c>
      <c r="CX36" s="137">
        <f t="shared" si="30"/>
        <v>0</v>
      </c>
      <c r="CY36" s="137">
        <f t="shared" si="30"/>
        <v>0</v>
      </c>
      <c r="CZ36" s="137">
        <f t="shared" si="30"/>
        <v>0</v>
      </c>
      <c r="DA36" s="137">
        <f t="shared" si="30"/>
        <v>0</v>
      </c>
      <c r="DB36" s="137">
        <f t="shared" si="30"/>
        <v>0</v>
      </c>
      <c r="DC36" s="137">
        <f t="shared" si="30"/>
        <v>0</v>
      </c>
      <c r="DD36" s="137">
        <f t="shared" si="30"/>
        <v>0</v>
      </c>
      <c r="DE36" s="137">
        <f t="shared" si="30"/>
        <v>0</v>
      </c>
      <c r="DF36" s="137">
        <f t="shared" si="30"/>
        <v>0</v>
      </c>
      <c r="DG36" s="137">
        <f t="shared" si="30"/>
        <v>0</v>
      </c>
      <c r="DH36" s="137">
        <f t="shared" si="30"/>
        <v>0</v>
      </c>
      <c r="DI36" s="137">
        <f t="shared" si="30"/>
        <v>0</v>
      </c>
      <c r="DJ36" s="137">
        <f t="shared" si="30"/>
        <v>0</v>
      </c>
      <c r="DK36" s="137">
        <f t="shared" si="30"/>
        <v>0</v>
      </c>
      <c r="DL36" s="137">
        <f t="shared" si="30"/>
        <v>0</v>
      </c>
      <c r="DM36" s="137">
        <f t="shared" si="30"/>
        <v>0</v>
      </c>
      <c r="DN36" s="137">
        <f t="shared" si="30"/>
        <v>0</v>
      </c>
      <c r="DO36" s="137">
        <f t="shared" si="30"/>
        <v>0</v>
      </c>
      <c r="DP36" s="137">
        <f t="shared" si="30"/>
        <v>0</v>
      </c>
      <c r="DQ36" s="137">
        <f t="shared" si="30"/>
        <v>0</v>
      </c>
      <c r="DR36" s="137">
        <f t="shared" si="30"/>
        <v>0</v>
      </c>
      <c r="DS36" s="137">
        <f t="shared" si="30"/>
        <v>0</v>
      </c>
      <c r="DT36" s="137">
        <f t="shared" si="30"/>
        <v>0</v>
      </c>
      <c r="DU36" s="137">
        <f t="shared" si="30"/>
        <v>0</v>
      </c>
      <c r="DV36" s="137">
        <f t="shared" si="30"/>
        <v>0</v>
      </c>
      <c r="DW36" s="137">
        <f t="shared" si="30"/>
        <v>0</v>
      </c>
      <c r="DX36" s="137">
        <f t="shared" si="30"/>
        <v>0</v>
      </c>
      <c r="DY36" s="137">
        <f t="shared" si="30"/>
        <v>0</v>
      </c>
      <c r="DZ36" s="137">
        <f t="shared" si="30"/>
        <v>0</v>
      </c>
      <c r="EA36" s="137">
        <f t="shared" si="30"/>
        <v>0</v>
      </c>
      <c r="EB36" s="137">
        <f t="shared" ref="EB36:GD36" si="31">EB37+EB38</f>
        <v>0</v>
      </c>
      <c r="EC36" s="137">
        <f t="shared" si="31"/>
        <v>0</v>
      </c>
      <c r="ED36" s="137">
        <f t="shared" si="31"/>
        <v>0</v>
      </c>
      <c r="EE36" s="137">
        <f t="shared" si="31"/>
        <v>0</v>
      </c>
      <c r="EF36" s="137">
        <f t="shared" si="31"/>
        <v>0</v>
      </c>
      <c r="EG36" s="137">
        <f t="shared" si="31"/>
        <v>0</v>
      </c>
      <c r="EH36" s="137">
        <f t="shared" si="31"/>
        <v>0</v>
      </c>
      <c r="EI36" s="137">
        <f t="shared" si="31"/>
        <v>0</v>
      </c>
      <c r="EJ36" s="137">
        <f t="shared" si="31"/>
        <v>0</v>
      </c>
      <c r="EK36" s="137">
        <f t="shared" si="31"/>
        <v>0</v>
      </c>
      <c r="EL36" s="137">
        <f t="shared" si="31"/>
        <v>0</v>
      </c>
      <c r="EM36" s="137">
        <f t="shared" si="31"/>
        <v>0</v>
      </c>
      <c r="EN36" s="137">
        <f t="shared" si="31"/>
        <v>0</v>
      </c>
      <c r="EO36" s="137">
        <f t="shared" si="31"/>
        <v>0</v>
      </c>
      <c r="EP36" s="137">
        <f t="shared" si="31"/>
        <v>0</v>
      </c>
      <c r="EQ36" s="137">
        <f t="shared" si="31"/>
        <v>0</v>
      </c>
      <c r="ER36" s="137">
        <f t="shared" si="31"/>
        <v>0</v>
      </c>
      <c r="ES36" s="137">
        <f t="shared" si="31"/>
        <v>0</v>
      </c>
      <c r="ET36" s="137">
        <f t="shared" si="31"/>
        <v>0</v>
      </c>
      <c r="EU36" s="137">
        <f t="shared" si="31"/>
        <v>0</v>
      </c>
      <c r="EV36" s="137">
        <f t="shared" si="31"/>
        <v>0</v>
      </c>
      <c r="EW36" s="137">
        <f t="shared" si="31"/>
        <v>0</v>
      </c>
      <c r="EX36" s="137">
        <f t="shared" si="31"/>
        <v>0</v>
      </c>
      <c r="EY36" s="137">
        <f t="shared" si="31"/>
        <v>0</v>
      </c>
      <c r="EZ36" s="137">
        <f t="shared" si="31"/>
        <v>0</v>
      </c>
      <c r="FA36" s="137">
        <f t="shared" si="31"/>
        <v>0</v>
      </c>
      <c r="FB36" s="137">
        <f t="shared" si="31"/>
        <v>0</v>
      </c>
      <c r="FC36" s="137">
        <f t="shared" si="31"/>
        <v>0</v>
      </c>
      <c r="FD36" s="137">
        <f t="shared" si="31"/>
        <v>0</v>
      </c>
      <c r="FE36" s="137">
        <f t="shared" si="31"/>
        <v>0</v>
      </c>
      <c r="FF36" s="137">
        <f t="shared" si="31"/>
        <v>0</v>
      </c>
      <c r="FG36" s="137">
        <f t="shared" si="31"/>
        <v>0</v>
      </c>
      <c r="FH36" s="137">
        <f t="shared" si="31"/>
        <v>0</v>
      </c>
      <c r="FI36" s="137">
        <f t="shared" si="31"/>
        <v>0</v>
      </c>
      <c r="FJ36" s="137">
        <f t="shared" si="31"/>
        <v>0</v>
      </c>
      <c r="FK36" s="137">
        <f t="shared" si="31"/>
        <v>0</v>
      </c>
      <c r="FL36" s="137">
        <f t="shared" si="31"/>
        <v>0</v>
      </c>
      <c r="FM36" s="137">
        <f t="shared" si="31"/>
        <v>0</v>
      </c>
      <c r="FN36" s="137">
        <f t="shared" si="31"/>
        <v>0</v>
      </c>
      <c r="FO36" s="137">
        <f t="shared" si="31"/>
        <v>0</v>
      </c>
      <c r="FP36" s="137">
        <f t="shared" si="31"/>
        <v>0</v>
      </c>
      <c r="FQ36" s="137">
        <f t="shared" si="31"/>
        <v>0</v>
      </c>
      <c r="FR36" s="136">
        <f t="shared" si="31"/>
        <v>9035832.5</v>
      </c>
      <c r="FS36" s="137">
        <f t="shared" si="31"/>
        <v>0</v>
      </c>
      <c r="FT36" s="137">
        <f t="shared" si="31"/>
        <v>0</v>
      </c>
      <c r="FU36" s="137">
        <f t="shared" si="31"/>
        <v>0</v>
      </c>
      <c r="FV36" s="137">
        <f t="shared" si="31"/>
        <v>0</v>
      </c>
      <c r="FW36" s="137">
        <f t="shared" si="31"/>
        <v>0</v>
      </c>
      <c r="FX36" s="137">
        <f t="shared" si="31"/>
        <v>0</v>
      </c>
      <c r="FY36" s="137">
        <f t="shared" si="31"/>
        <v>0</v>
      </c>
      <c r="FZ36" s="137">
        <f t="shared" si="31"/>
        <v>0</v>
      </c>
      <c r="GA36" s="137">
        <f t="shared" si="31"/>
        <v>0</v>
      </c>
      <c r="GB36" s="137">
        <f t="shared" si="31"/>
        <v>0</v>
      </c>
      <c r="GC36" s="137">
        <f t="shared" si="31"/>
        <v>0</v>
      </c>
      <c r="GD36" s="137">
        <f t="shared" si="31"/>
        <v>0</v>
      </c>
      <c r="GE36" s="137">
        <f>GE37+GE38</f>
        <v>0</v>
      </c>
      <c r="GF36" s="137">
        <f>GF37+GF38</f>
        <v>0</v>
      </c>
      <c r="GG36" s="137">
        <f>GG37+GG38</f>
        <v>0</v>
      </c>
      <c r="GH36" s="137">
        <f t="shared" ref="GH36:IQ36" si="32">GH37+GH38</f>
        <v>0</v>
      </c>
      <c r="GI36" s="137">
        <f t="shared" si="32"/>
        <v>0</v>
      </c>
      <c r="GJ36" s="137">
        <f t="shared" si="32"/>
        <v>0</v>
      </c>
      <c r="GK36" s="137">
        <f t="shared" si="32"/>
        <v>0</v>
      </c>
      <c r="GL36" s="137">
        <f t="shared" si="32"/>
        <v>0</v>
      </c>
      <c r="GM36" s="137">
        <f t="shared" si="32"/>
        <v>0</v>
      </c>
      <c r="GN36" s="137">
        <f t="shared" si="32"/>
        <v>0</v>
      </c>
      <c r="GO36" s="137">
        <f t="shared" si="32"/>
        <v>0</v>
      </c>
      <c r="GP36" s="137">
        <f t="shared" si="32"/>
        <v>0</v>
      </c>
      <c r="GQ36" s="137">
        <f t="shared" si="32"/>
        <v>0</v>
      </c>
      <c r="GR36" s="137">
        <f t="shared" si="32"/>
        <v>0</v>
      </c>
      <c r="GS36" s="137">
        <f t="shared" si="32"/>
        <v>0</v>
      </c>
      <c r="GT36" s="137">
        <f t="shared" si="32"/>
        <v>0</v>
      </c>
      <c r="GU36" s="137">
        <f t="shared" si="32"/>
        <v>0</v>
      </c>
      <c r="GV36" s="137">
        <f t="shared" si="32"/>
        <v>0</v>
      </c>
      <c r="GW36" s="137">
        <f t="shared" si="32"/>
        <v>0</v>
      </c>
      <c r="GX36" s="137">
        <f t="shared" si="32"/>
        <v>0</v>
      </c>
      <c r="GY36" s="137">
        <f t="shared" si="32"/>
        <v>0</v>
      </c>
      <c r="GZ36" s="137">
        <f t="shared" si="32"/>
        <v>0</v>
      </c>
      <c r="HA36" s="137">
        <f t="shared" si="32"/>
        <v>0</v>
      </c>
      <c r="HB36" s="137">
        <f t="shared" si="32"/>
        <v>0</v>
      </c>
      <c r="HC36" s="137">
        <f t="shared" si="32"/>
        <v>0</v>
      </c>
      <c r="HD36" s="137">
        <f t="shared" si="32"/>
        <v>0</v>
      </c>
      <c r="HE36" s="137">
        <f t="shared" si="32"/>
        <v>0</v>
      </c>
      <c r="HF36" s="137">
        <f t="shared" si="32"/>
        <v>0</v>
      </c>
      <c r="HG36" s="137">
        <f t="shared" si="32"/>
        <v>0</v>
      </c>
      <c r="HH36" s="137">
        <f t="shared" si="32"/>
        <v>0</v>
      </c>
      <c r="HI36" s="137">
        <f t="shared" si="32"/>
        <v>0</v>
      </c>
      <c r="HJ36" s="137">
        <f t="shared" si="32"/>
        <v>0</v>
      </c>
      <c r="HK36" s="137">
        <f t="shared" si="32"/>
        <v>0</v>
      </c>
      <c r="HL36" s="137">
        <f t="shared" si="32"/>
        <v>0</v>
      </c>
      <c r="HM36" s="137">
        <f t="shared" si="32"/>
        <v>0</v>
      </c>
      <c r="HN36" s="137">
        <f t="shared" si="32"/>
        <v>0</v>
      </c>
      <c r="HO36" s="137">
        <f t="shared" si="32"/>
        <v>0</v>
      </c>
      <c r="HP36" s="137">
        <f t="shared" si="32"/>
        <v>0</v>
      </c>
      <c r="HQ36" s="137">
        <f t="shared" si="32"/>
        <v>0</v>
      </c>
      <c r="HR36" s="137">
        <f t="shared" si="32"/>
        <v>0</v>
      </c>
      <c r="HS36" s="137">
        <f t="shared" si="32"/>
        <v>0</v>
      </c>
      <c r="HT36" s="137">
        <f t="shared" si="32"/>
        <v>0</v>
      </c>
      <c r="HU36" s="137">
        <f t="shared" si="32"/>
        <v>0</v>
      </c>
      <c r="HV36" s="137">
        <f t="shared" si="32"/>
        <v>0</v>
      </c>
      <c r="HW36" s="137">
        <f t="shared" si="32"/>
        <v>0</v>
      </c>
      <c r="HX36" s="137">
        <f t="shared" si="32"/>
        <v>0</v>
      </c>
      <c r="HY36" s="137">
        <f t="shared" si="32"/>
        <v>0</v>
      </c>
      <c r="HZ36" s="137">
        <f t="shared" si="32"/>
        <v>0</v>
      </c>
      <c r="IA36" s="137">
        <f t="shared" si="32"/>
        <v>0</v>
      </c>
      <c r="IB36" s="137">
        <f t="shared" si="32"/>
        <v>0</v>
      </c>
      <c r="IC36" s="137">
        <f t="shared" si="32"/>
        <v>0</v>
      </c>
      <c r="ID36" s="137">
        <f t="shared" si="32"/>
        <v>0</v>
      </c>
      <c r="IE36" s="137">
        <f t="shared" si="32"/>
        <v>0</v>
      </c>
      <c r="IF36" s="137">
        <f t="shared" si="32"/>
        <v>0</v>
      </c>
      <c r="IG36" s="137">
        <f t="shared" si="32"/>
        <v>0</v>
      </c>
      <c r="IH36" s="137">
        <f t="shared" si="32"/>
        <v>0</v>
      </c>
      <c r="II36" s="137">
        <f t="shared" si="32"/>
        <v>0</v>
      </c>
      <c r="IJ36" s="137">
        <f t="shared" si="32"/>
        <v>0</v>
      </c>
      <c r="IK36" s="137">
        <f t="shared" si="32"/>
        <v>0</v>
      </c>
      <c r="IL36" s="137">
        <f t="shared" si="32"/>
        <v>0</v>
      </c>
      <c r="IM36" s="137">
        <f t="shared" si="32"/>
        <v>0</v>
      </c>
      <c r="IN36" s="137">
        <f t="shared" si="32"/>
        <v>0</v>
      </c>
      <c r="IO36" s="137">
        <f t="shared" si="32"/>
        <v>0</v>
      </c>
      <c r="IP36" s="137">
        <f t="shared" si="32"/>
        <v>0</v>
      </c>
      <c r="IQ36" s="137">
        <f t="shared" si="32"/>
        <v>0</v>
      </c>
      <c r="IR36" s="137">
        <f t="shared" ref="IR36:KM36" si="33">IR37+IR38</f>
        <v>0</v>
      </c>
      <c r="IS36" s="137">
        <f t="shared" si="33"/>
        <v>0</v>
      </c>
      <c r="IT36" s="137">
        <f t="shared" si="33"/>
        <v>0</v>
      </c>
      <c r="IU36" s="137">
        <f t="shared" si="33"/>
        <v>0</v>
      </c>
      <c r="IV36" s="137">
        <f t="shared" si="33"/>
        <v>0</v>
      </c>
      <c r="IW36" s="137">
        <f t="shared" si="33"/>
        <v>0</v>
      </c>
      <c r="IX36" s="137">
        <f t="shared" si="33"/>
        <v>0</v>
      </c>
      <c r="IY36" s="137">
        <f t="shared" si="33"/>
        <v>0</v>
      </c>
      <c r="IZ36" s="137">
        <f t="shared" si="33"/>
        <v>0</v>
      </c>
      <c r="JA36" s="137">
        <f t="shared" si="33"/>
        <v>0</v>
      </c>
      <c r="JB36" s="137">
        <f t="shared" si="33"/>
        <v>0</v>
      </c>
      <c r="JC36" s="137">
        <f t="shared" si="33"/>
        <v>0</v>
      </c>
      <c r="JD36" s="137">
        <f t="shared" si="33"/>
        <v>0</v>
      </c>
      <c r="JE36" s="137">
        <f t="shared" si="33"/>
        <v>0</v>
      </c>
      <c r="JF36" s="137">
        <f t="shared" si="33"/>
        <v>0</v>
      </c>
      <c r="JG36" s="137">
        <f t="shared" si="33"/>
        <v>0</v>
      </c>
      <c r="JH36" s="137">
        <f t="shared" si="33"/>
        <v>0</v>
      </c>
      <c r="JI36" s="137">
        <f t="shared" si="33"/>
        <v>0</v>
      </c>
      <c r="JJ36" s="137">
        <f t="shared" si="33"/>
        <v>0</v>
      </c>
      <c r="JK36" s="137">
        <f t="shared" si="33"/>
        <v>0</v>
      </c>
      <c r="JL36" s="137">
        <f t="shared" si="33"/>
        <v>0</v>
      </c>
      <c r="JM36" s="137">
        <f t="shared" si="33"/>
        <v>0</v>
      </c>
      <c r="JN36" s="137">
        <f t="shared" si="33"/>
        <v>0</v>
      </c>
      <c r="JO36" s="137">
        <f t="shared" si="33"/>
        <v>0</v>
      </c>
      <c r="JP36" s="137">
        <f t="shared" si="33"/>
        <v>0</v>
      </c>
      <c r="JQ36" s="137">
        <f t="shared" si="33"/>
        <v>0</v>
      </c>
      <c r="JR36" s="137">
        <f t="shared" si="33"/>
        <v>0</v>
      </c>
      <c r="JS36" s="137">
        <f t="shared" si="33"/>
        <v>0</v>
      </c>
      <c r="JT36" s="137">
        <f t="shared" si="33"/>
        <v>0</v>
      </c>
      <c r="JU36" s="137">
        <f t="shared" si="33"/>
        <v>0</v>
      </c>
      <c r="JV36" s="137">
        <f t="shared" si="33"/>
        <v>0</v>
      </c>
      <c r="JW36" s="137">
        <f t="shared" si="33"/>
        <v>0</v>
      </c>
      <c r="JX36" s="137">
        <f t="shared" si="33"/>
        <v>0</v>
      </c>
      <c r="JY36" s="137">
        <f t="shared" si="33"/>
        <v>0</v>
      </c>
      <c r="JZ36" s="137">
        <f t="shared" si="33"/>
        <v>0</v>
      </c>
      <c r="KA36" s="137">
        <f t="shared" si="33"/>
        <v>0</v>
      </c>
      <c r="KB36" s="137">
        <f t="shared" si="33"/>
        <v>0</v>
      </c>
      <c r="KC36" s="137">
        <f t="shared" si="33"/>
        <v>0</v>
      </c>
      <c r="KD36" s="137">
        <f t="shared" si="33"/>
        <v>0</v>
      </c>
      <c r="KE36" s="137">
        <f t="shared" si="33"/>
        <v>0</v>
      </c>
      <c r="KF36" s="137">
        <f t="shared" si="33"/>
        <v>0</v>
      </c>
      <c r="KG36" s="137">
        <f t="shared" si="33"/>
        <v>0</v>
      </c>
      <c r="KH36" s="137">
        <f t="shared" si="33"/>
        <v>0</v>
      </c>
      <c r="KI36" s="137">
        <f t="shared" si="33"/>
        <v>0</v>
      </c>
      <c r="KJ36" s="137">
        <f t="shared" si="33"/>
        <v>0</v>
      </c>
      <c r="KK36" s="137">
        <f t="shared" si="33"/>
        <v>0</v>
      </c>
      <c r="KL36" s="137">
        <f t="shared" si="33"/>
        <v>0</v>
      </c>
      <c r="KM36" s="137">
        <f t="shared" si="33"/>
        <v>0</v>
      </c>
      <c r="KN36" s="137">
        <f t="shared" ref="KN36:LB36" si="34">KN37+KN38</f>
        <v>0</v>
      </c>
      <c r="KO36" s="137">
        <f t="shared" si="34"/>
        <v>0</v>
      </c>
      <c r="KP36" s="137">
        <f t="shared" si="34"/>
        <v>0</v>
      </c>
      <c r="KQ36" s="137">
        <f t="shared" si="34"/>
        <v>0</v>
      </c>
      <c r="KR36" s="137">
        <f t="shared" si="34"/>
        <v>0</v>
      </c>
      <c r="KS36" s="137">
        <f t="shared" si="34"/>
        <v>0</v>
      </c>
      <c r="KT36" s="137">
        <f t="shared" si="34"/>
        <v>0</v>
      </c>
      <c r="KU36" s="137">
        <f t="shared" si="34"/>
        <v>0</v>
      </c>
      <c r="KV36" s="137">
        <f t="shared" si="34"/>
        <v>0</v>
      </c>
      <c r="KW36" s="137">
        <f t="shared" si="34"/>
        <v>0</v>
      </c>
      <c r="KX36" s="137">
        <f t="shared" si="34"/>
        <v>0</v>
      </c>
      <c r="KY36" s="137">
        <f t="shared" si="34"/>
        <v>0</v>
      </c>
      <c r="KZ36" s="137">
        <f t="shared" si="34"/>
        <v>0</v>
      </c>
      <c r="LA36" s="137">
        <f t="shared" si="34"/>
        <v>0</v>
      </c>
      <c r="LB36" s="137">
        <f t="shared" si="34"/>
        <v>0</v>
      </c>
      <c r="LC36" s="137">
        <f t="shared" ref="LC36:MW36" si="35">LC37+LC38</f>
        <v>0</v>
      </c>
      <c r="LD36" s="137">
        <f t="shared" si="35"/>
        <v>0</v>
      </c>
      <c r="LE36" s="137">
        <f t="shared" si="35"/>
        <v>0</v>
      </c>
      <c r="LF36" s="137">
        <f t="shared" si="35"/>
        <v>0</v>
      </c>
      <c r="LG36" s="137">
        <f t="shared" si="35"/>
        <v>0</v>
      </c>
      <c r="LH36" s="137">
        <f t="shared" si="35"/>
        <v>0</v>
      </c>
      <c r="LI36" s="137">
        <f t="shared" si="35"/>
        <v>0</v>
      </c>
      <c r="LJ36" s="137">
        <f t="shared" si="35"/>
        <v>0</v>
      </c>
      <c r="LK36" s="137">
        <f t="shared" si="35"/>
        <v>0</v>
      </c>
      <c r="LL36" s="137">
        <f t="shared" si="35"/>
        <v>0</v>
      </c>
      <c r="LM36" s="137">
        <f t="shared" si="35"/>
        <v>0</v>
      </c>
      <c r="LN36" s="137">
        <f t="shared" si="35"/>
        <v>0</v>
      </c>
      <c r="LO36" s="137">
        <f t="shared" si="35"/>
        <v>0</v>
      </c>
      <c r="LP36" s="137">
        <f t="shared" si="35"/>
        <v>0</v>
      </c>
      <c r="LQ36" s="137">
        <f t="shared" si="35"/>
        <v>0</v>
      </c>
      <c r="LR36" s="137">
        <f t="shared" si="35"/>
        <v>0</v>
      </c>
      <c r="LS36" s="137">
        <f t="shared" si="35"/>
        <v>0</v>
      </c>
      <c r="LT36" s="137">
        <f t="shared" si="35"/>
        <v>0</v>
      </c>
      <c r="LU36" s="137">
        <f t="shared" si="35"/>
        <v>0</v>
      </c>
      <c r="LV36" s="137">
        <f t="shared" si="35"/>
        <v>0</v>
      </c>
      <c r="LW36" s="137">
        <f t="shared" si="35"/>
        <v>0</v>
      </c>
      <c r="LX36" s="137">
        <f t="shared" si="35"/>
        <v>0</v>
      </c>
      <c r="LY36" s="137">
        <f t="shared" si="35"/>
        <v>0</v>
      </c>
      <c r="LZ36" s="137">
        <f t="shared" si="35"/>
        <v>0</v>
      </c>
      <c r="MA36" s="137">
        <f t="shared" si="35"/>
        <v>0</v>
      </c>
      <c r="MB36" s="137">
        <f t="shared" si="35"/>
        <v>0</v>
      </c>
      <c r="MC36" s="137">
        <f t="shared" si="35"/>
        <v>0</v>
      </c>
      <c r="MD36" s="137">
        <f t="shared" si="35"/>
        <v>0</v>
      </c>
      <c r="ME36" s="137">
        <f t="shared" si="35"/>
        <v>0</v>
      </c>
      <c r="MF36" s="137">
        <f t="shared" si="35"/>
        <v>0</v>
      </c>
      <c r="MG36" s="137">
        <f t="shared" si="35"/>
        <v>0</v>
      </c>
      <c r="MH36" s="137">
        <f t="shared" si="35"/>
        <v>0</v>
      </c>
      <c r="MI36" s="137">
        <f t="shared" si="35"/>
        <v>0</v>
      </c>
      <c r="MJ36" s="137">
        <f t="shared" si="35"/>
        <v>0</v>
      </c>
      <c r="MK36" s="137">
        <f t="shared" si="35"/>
        <v>0</v>
      </c>
      <c r="ML36" s="137">
        <f t="shared" si="35"/>
        <v>0</v>
      </c>
      <c r="MM36" s="137">
        <f t="shared" si="35"/>
        <v>0</v>
      </c>
      <c r="MN36" s="137">
        <f t="shared" si="35"/>
        <v>0</v>
      </c>
      <c r="MO36" s="137">
        <f t="shared" si="35"/>
        <v>0</v>
      </c>
      <c r="MP36" s="137">
        <f t="shared" si="35"/>
        <v>0</v>
      </c>
      <c r="MQ36" s="137">
        <f t="shared" si="35"/>
        <v>0</v>
      </c>
      <c r="MR36" s="137">
        <f t="shared" si="35"/>
        <v>0</v>
      </c>
      <c r="MS36" s="137">
        <f t="shared" si="35"/>
        <v>0</v>
      </c>
      <c r="MT36" s="137">
        <f t="shared" si="35"/>
        <v>0</v>
      </c>
      <c r="MU36" s="137">
        <f t="shared" si="35"/>
        <v>0</v>
      </c>
      <c r="MV36" s="137">
        <f t="shared" si="35"/>
        <v>0</v>
      </c>
      <c r="MW36" s="137">
        <f t="shared" si="35"/>
        <v>0</v>
      </c>
      <c r="MX36" s="124"/>
    </row>
    <row r="37" spans="1:362" ht="10.5" customHeight="1" thickBot="1" x14ac:dyDescent="0.25">
      <c r="A37" s="158" t="s">
        <v>540</v>
      </c>
      <c r="B37" s="159"/>
      <c r="C37" s="160">
        <f>SUM(D38:MW38)</f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26">
        <v>9035832.5</v>
      </c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  <c r="IW37" s="118"/>
      <c r="IX37" s="118"/>
      <c r="IY37" s="118"/>
      <c r="IZ37" s="118"/>
      <c r="JA37" s="118"/>
      <c r="JB37" s="118"/>
      <c r="JC37" s="118"/>
      <c r="JD37" s="118"/>
      <c r="JE37" s="118"/>
      <c r="JF37" s="118"/>
      <c r="JG37" s="118"/>
      <c r="JH37" s="118"/>
      <c r="JI37" s="118"/>
      <c r="JJ37" s="118"/>
      <c r="JK37" s="118"/>
      <c r="JL37" s="118"/>
      <c r="JM37" s="118"/>
      <c r="JN37" s="118"/>
      <c r="JO37" s="118"/>
      <c r="JP37" s="118"/>
      <c r="JQ37" s="118"/>
      <c r="JR37" s="118"/>
      <c r="JS37" s="118"/>
      <c r="JT37" s="118"/>
      <c r="JU37" s="118"/>
      <c r="JV37" s="118"/>
      <c r="JW37" s="118"/>
      <c r="JX37" s="118"/>
      <c r="JY37" s="118"/>
      <c r="JZ37" s="118"/>
      <c r="KA37" s="118"/>
      <c r="KB37" s="118"/>
      <c r="KC37" s="118"/>
      <c r="KD37" s="118"/>
      <c r="KE37" s="118"/>
      <c r="KF37" s="118"/>
      <c r="KG37" s="118"/>
      <c r="KH37" s="118"/>
      <c r="KI37" s="118"/>
      <c r="KJ37" s="118"/>
      <c r="KK37" s="118"/>
      <c r="KL37" s="118"/>
      <c r="KM37" s="118"/>
      <c r="KN37" s="118"/>
      <c r="KO37" s="118"/>
      <c r="KP37" s="118"/>
      <c r="KQ37" s="118"/>
      <c r="KR37" s="118"/>
      <c r="KS37" s="118"/>
      <c r="KT37" s="118"/>
      <c r="KU37" s="118"/>
      <c r="KV37" s="118"/>
      <c r="KW37" s="118"/>
      <c r="KX37" s="118"/>
      <c r="KY37" s="118"/>
      <c r="KZ37" s="118"/>
      <c r="LA37" s="118"/>
      <c r="LB37" s="118"/>
      <c r="LC37" s="118"/>
      <c r="LD37" s="118"/>
      <c r="LE37" s="118"/>
      <c r="LF37" s="118"/>
      <c r="LG37" s="118"/>
      <c r="LH37" s="118"/>
      <c r="LI37" s="118"/>
      <c r="LJ37" s="118"/>
      <c r="LK37" s="118"/>
      <c r="LL37" s="118"/>
      <c r="LM37" s="118"/>
      <c r="LN37" s="118"/>
      <c r="LO37" s="118"/>
      <c r="LP37" s="118"/>
      <c r="LQ37" s="118"/>
      <c r="LR37" s="118"/>
      <c r="LS37" s="118"/>
      <c r="LT37" s="118"/>
      <c r="LU37" s="118"/>
      <c r="LV37" s="118"/>
      <c r="LW37" s="118"/>
      <c r="LX37" s="118"/>
      <c r="LY37" s="118"/>
      <c r="LZ37" s="118"/>
      <c r="MA37" s="118"/>
      <c r="MB37" s="118"/>
      <c r="MC37" s="118"/>
      <c r="MD37" s="118"/>
      <c r="ME37" s="118"/>
      <c r="MF37" s="118"/>
      <c r="MG37" s="118"/>
      <c r="MH37" s="118"/>
      <c r="MI37" s="118"/>
      <c r="MJ37" s="118"/>
      <c r="MK37" s="118"/>
      <c r="ML37" s="118"/>
      <c r="MM37" s="118"/>
      <c r="MN37" s="118"/>
      <c r="MO37" s="118"/>
      <c r="MP37" s="118"/>
      <c r="MQ37" s="118"/>
      <c r="MR37" s="118"/>
      <c r="MS37" s="118"/>
      <c r="MT37" s="118"/>
      <c r="MU37" s="118"/>
      <c r="MV37" s="118"/>
      <c r="MW37" s="118"/>
      <c r="MX37" s="114"/>
    </row>
    <row r="38" spans="1:362" ht="9.75" customHeight="1" thickBot="1" x14ac:dyDescent="0.25">
      <c r="A38" s="155" t="s">
        <v>541</v>
      </c>
      <c r="B38" s="164">
        <v>1.5</v>
      </c>
      <c r="C38" s="160">
        <f>SUM(D39:MW39)</f>
        <v>0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  <c r="IM38" s="138"/>
      <c r="IN38" s="138"/>
      <c r="IO38" s="138"/>
      <c r="IP38" s="138"/>
      <c r="IQ38" s="138"/>
      <c r="IR38" s="138"/>
      <c r="IS38" s="138"/>
      <c r="IT38" s="138"/>
      <c r="IU38" s="138"/>
      <c r="IV38" s="138"/>
      <c r="IW38" s="138"/>
      <c r="IX38" s="138"/>
      <c r="IY38" s="138"/>
      <c r="IZ38" s="138"/>
      <c r="JA38" s="138"/>
      <c r="JB38" s="138"/>
      <c r="JC38" s="138"/>
      <c r="JD38" s="138"/>
      <c r="JE38" s="138"/>
      <c r="JF38" s="138"/>
      <c r="JG38" s="138"/>
      <c r="JH38" s="138"/>
      <c r="JI38" s="138"/>
      <c r="JJ38" s="138"/>
      <c r="JK38" s="138"/>
      <c r="JL38" s="138"/>
      <c r="JM38" s="138"/>
      <c r="JN38" s="138"/>
      <c r="JO38" s="138"/>
      <c r="JP38" s="138"/>
      <c r="JQ38" s="138"/>
      <c r="JR38" s="138"/>
      <c r="JS38" s="138"/>
      <c r="JT38" s="138"/>
      <c r="JU38" s="138"/>
      <c r="JV38" s="138"/>
      <c r="JW38" s="138"/>
      <c r="JX38" s="138"/>
      <c r="JY38" s="138"/>
      <c r="JZ38" s="138"/>
      <c r="KA38" s="138"/>
      <c r="KB38" s="138"/>
      <c r="KC38" s="138"/>
      <c r="KD38" s="138"/>
      <c r="KE38" s="138"/>
      <c r="KF38" s="138"/>
      <c r="KG38" s="138"/>
      <c r="KH38" s="138"/>
      <c r="KI38" s="138"/>
      <c r="KJ38" s="138"/>
      <c r="KK38" s="138"/>
      <c r="KL38" s="138"/>
      <c r="KM38" s="138"/>
      <c r="KN38" s="138"/>
      <c r="KO38" s="138"/>
      <c r="KP38" s="138"/>
      <c r="KQ38" s="138"/>
      <c r="KR38" s="138"/>
      <c r="KS38" s="138"/>
      <c r="KT38" s="138"/>
      <c r="KU38" s="138"/>
      <c r="KV38" s="138"/>
      <c r="KW38" s="138"/>
      <c r="KX38" s="138"/>
      <c r="KY38" s="138"/>
      <c r="KZ38" s="138"/>
      <c r="LA38" s="138"/>
      <c r="LB38" s="138"/>
      <c r="LC38" s="138"/>
      <c r="LD38" s="138"/>
      <c r="LE38" s="138"/>
      <c r="LF38" s="138"/>
      <c r="LG38" s="138"/>
      <c r="LH38" s="138"/>
      <c r="LI38" s="138"/>
      <c r="LJ38" s="138"/>
      <c r="LK38" s="138"/>
      <c r="LL38" s="138"/>
      <c r="LM38" s="138"/>
      <c r="LN38" s="138"/>
      <c r="LO38" s="138"/>
      <c r="LP38" s="138"/>
      <c r="LQ38" s="138"/>
      <c r="LR38" s="138"/>
      <c r="LS38" s="138"/>
      <c r="LT38" s="138"/>
      <c r="LU38" s="138"/>
      <c r="LV38" s="138"/>
      <c r="LW38" s="138"/>
      <c r="LX38" s="138"/>
      <c r="LY38" s="138"/>
      <c r="LZ38" s="138"/>
      <c r="MA38" s="138"/>
      <c r="MB38" s="138"/>
      <c r="MC38" s="138"/>
      <c r="MD38" s="138"/>
      <c r="ME38" s="138"/>
      <c r="MF38" s="138"/>
      <c r="MG38" s="138"/>
      <c r="MH38" s="138"/>
      <c r="MI38" s="138"/>
      <c r="MJ38" s="138"/>
      <c r="MK38" s="138"/>
      <c r="ML38" s="138"/>
      <c r="MM38" s="138"/>
      <c r="MN38" s="138"/>
      <c r="MO38" s="138"/>
      <c r="MP38" s="138"/>
      <c r="MQ38" s="138"/>
      <c r="MR38" s="138"/>
      <c r="MS38" s="138"/>
      <c r="MT38" s="138"/>
      <c r="MU38" s="138"/>
      <c r="MV38" s="138"/>
      <c r="MW38" s="138"/>
      <c r="MX38" s="114"/>
    </row>
    <row r="39" spans="1:362" s="3" customFormat="1" ht="9.75" customHeight="1" thickBot="1" x14ac:dyDescent="0.25">
      <c r="A39" s="158" t="s">
        <v>542</v>
      </c>
      <c r="B39" s="159"/>
      <c r="C39" s="160">
        <f>SUM(D40:MW40)</f>
        <v>0</v>
      </c>
      <c r="D39" s="121">
        <f>D40+D41</f>
        <v>0</v>
      </c>
      <c r="E39" s="121">
        <f t="shared" ref="E39:BP39" si="36">E40+E41</f>
        <v>0</v>
      </c>
      <c r="F39" s="121">
        <f t="shared" si="36"/>
        <v>0</v>
      </c>
      <c r="G39" s="121">
        <f t="shared" si="36"/>
        <v>0</v>
      </c>
      <c r="H39" s="121">
        <f t="shared" si="36"/>
        <v>0</v>
      </c>
      <c r="I39" s="121">
        <f t="shared" si="36"/>
        <v>0</v>
      </c>
      <c r="J39" s="121">
        <f t="shared" si="36"/>
        <v>0</v>
      </c>
      <c r="K39" s="121">
        <f t="shared" si="36"/>
        <v>0</v>
      </c>
      <c r="L39" s="121">
        <f t="shared" si="36"/>
        <v>0</v>
      </c>
      <c r="M39" s="121">
        <f t="shared" si="36"/>
        <v>0</v>
      </c>
      <c r="N39" s="121">
        <f t="shared" si="36"/>
        <v>0</v>
      </c>
      <c r="O39" s="121">
        <f t="shared" si="36"/>
        <v>0</v>
      </c>
      <c r="P39" s="121">
        <f t="shared" si="36"/>
        <v>0</v>
      </c>
      <c r="Q39" s="121">
        <f t="shared" si="36"/>
        <v>0</v>
      </c>
      <c r="R39" s="121">
        <f t="shared" si="36"/>
        <v>0</v>
      </c>
      <c r="S39" s="121">
        <f t="shared" si="36"/>
        <v>0</v>
      </c>
      <c r="T39" s="121">
        <f t="shared" si="36"/>
        <v>0</v>
      </c>
      <c r="U39" s="121">
        <f t="shared" si="36"/>
        <v>0</v>
      </c>
      <c r="V39" s="121">
        <f t="shared" si="36"/>
        <v>0</v>
      </c>
      <c r="W39" s="121">
        <f t="shared" si="36"/>
        <v>0</v>
      </c>
      <c r="X39" s="121">
        <f t="shared" si="36"/>
        <v>0</v>
      </c>
      <c r="Y39" s="121">
        <f t="shared" si="36"/>
        <v>0</v>
      </c>
      <c r="Z39" s="121">
        <f t="shared" si="36"/>
        <v>0</v>
      </c>
      <c r="AA39" s="121">
        <f t="shared" si="36"/>
        <v>0</v>
      </c>
      <c r="AB39" s="121">
        <f t="shared" si="36"/>
        <v>0</v>
      </c>
      <c r="AC39" s="121">
        <f t="shared" si="36"/>
        <v>0</v>
      </c>
      <c r="AD39" s="121">
        <f t="shared" si="36"/>
        <v>0</v>
      </c>
      <c r="AE39" s="121">
        <f t="shared" si="36"/>
        <v>0</v>
      </c>
      <c r="AF39" s="121">
        <f t="shared" si="36"/>
        <v>0</v>
      </c>
      <c r="AG39" s="121">
        <f t="shared" si="36"/>
        <v>0</v>
      </c>
      <c r="AH39" s="121">
        <f t="shared" si="36"/>
        <v>0</v>
      </c>
      <c r="AI39" s="121">
        <f t="shared" si="36"/>
        <v>0</v>
      </c>
      <c r="AJ39" s="121">
        <f t="shared" si="36"/>
        <v>0</v>
      </c>
      <c r="AK39" s="121">
        <f t="shared" si="36"/>
        <v>0</v>
      </c>
      <c r="AL39" s="121">
        <f t="shared" si="36"/>
        <v>0</v>
      </c>
      <c r="AM39" s="121">
        <f t="shared" si="36"/>
        <v>0</v>
      </c>
      <c r="AN39" s="121">
        <f t="shared" si="36"/>
        <v>0</v>
      </c>
      <c r="AO39" s="121">
        <f t="shared" si="36"/>
        <v>0</v>
      </c>
      <c r="AP39" s="121">
        <f t="shared" si="36"/>
        <v>0</v>
      </c>
      <c r="AQ39" s="121">
        <f t="shared" si="36"/>
        <v>0</v>
      </c>
      <c r="AR39" s="121">
        <f t="shared" si="36"/>
        <v>0</v>
      </c>
      <c r="AS39" s="121">
        <f t="shared" si="36"/>
        <v>0</v>
      </c>
      <c r="AT39" s="121">
        <f t="shared" si="36"/>
        <v>0</v>
      </c>
      <c r="AU39" s="121">
        <f t="shared" si="36"/>
        <v>0</v>
      </c>
      <c r="AV39" s="121">
        <f t="shared" si="36"/>
        <v>0</v>
      </c>
      <c r="AW39" s="121">
        <f t="shared" si="36"/>
        <v>0</v>
      </c>
      <c r="AX39" s="121">
        <f t="shared" si="36"/>
        <v>0</v>
      </c>
      <c r="AY39" s="121">
        <f t="shared" si="36"/>
        <v>0</v>
      </c>
      <c r="AZ39" s="121">
        <f t="shared" si="36"/>
        <v>0</v>
      </c>
      <c r="BA39" s="121">
        <f t="shared" si="36"/>
        <v>0</v>
      </c>
      <c r="BB39" s="121">
        <f t="shared" si="36"/>
        <v>0</v>
      </c>
      <c r="BC39" s="121">
        <f t="shared" si="36"/>
        <v>0</v>
      </c>
      <c r="BD39" s="121">
        <f t="shared" si="36"/>
        <v>0</v>
      </c>
      <c r="BE39" s="121">
        <f t="shared" si="36"/>
        <v>0</v>
      </c>
      <c r="BF39" s="121">
        <f t="shared" si="36"/>
        <v>0</v>
      </c>
      <c r="BG39" s="121">
        <f t="shared" si="36"/>
        <v>0</v>
      </c>
      <c r="BH39" s="121">
        <f t="shared" si="36"/>
        <v>0</v>
      </c>
      <c r="BI39" s="121">
        <f t="shared" si="36"/>
        <v>0</v>
      </c>
      <c r="BJ39" s="121">
        <f t="shared" si="36"/>
        <v>0</v>
      </c>
      <c r="BK39" s="121">
        <f t="shared" si="36"/>
        <v>0</v>
      </c>
      <c r="BL39" s="121">
        <f t="shared" si="36"/>
        <v>0</v>
      </c>
      <c r="BM39" s="121">
        <f t="shared" si="36"/>
        <v>0</v>
      </c>
      <c r="BN39" s="121">
        <f t="shared" si="36"/>
        <v>0</v>
      </c>
      <c r="BO39" s="121">
        <f t="shared" si="36"/>
        <v>0</v>
      </c>
      <c r="BP39" s="121">
        <f t="shared" si="36"/>
        <v>0</v>
      </c>
      <c r="BQ39" s="121">
        <f t="shared" ref="BQ39:EA39" si="37">BQ40+BQ41</f>
        <v>0</v>
      </c>
      <c r="BR39" s="121">
        <f t="shared" si="37"/>
        <v>0</v>
      </c>
      <c r="BS39" s="121">
        <f t="shared" si="37"/>
        <v>0</v>
      </c>
      <c r="BT39" s="121">
        <f t="shared" si="37"/>
        <v>0</v>
      </c>
      <c r="BU39" s="121">
        <f t="shared" si="37"/>
        <v>0</v>
      </c>
      <c r="BV39" s="121">
        <f t="shared" si="37"/>
        <v>0</v>
      </c>
      <c r="BW39" s="121">
        <f t="shared" si="37"/>
        <v>0</v>
      </c>
      <c r="BX39" s="121">
        <f t="shared" si="37"/>
        <v>0</v>
      </c>
      <c r="BY39" s="121">
        <f t="shared" si="37"/>
        <v>0</v>
      </c>
      <c r="BZ39" s="121">
        <f t="shared" si="37"/>
        <v>0</v>
      </c>
      <c r="CA39" s="121">
        <f t="shared" si="37"/>
        <v>0</v>
      </c>
      <c r="CB39" s="121">
        <f t="shared" si="37"/>
        <v>0</v>
      </c>
      <c r="CC39" s="121">
        <f t="shared" si="37"/>
        <v>0</v>
      </c>
      <c r="CD39" s="121">
        <f t="shared" si="37"/>
        <v>0</v>
      </c>
      <c r="CE39" s="121">
        <f t="shared" si="37"/>
        <v>0</v>
      </c>
      <c r="CF39" s="121">
        <f t="shared" si="37"/>
        <v>0</v>
      </c>
      <c r="CG39" s="121">
        <f t="shared" si="37"/>
        <v>0</v>
      </c>
      <c r="CH39" s="121">
        <f t="shared" si="37"/>
        <v>0</v>
      </c>
      <c r="CI39" s="121">
        <f t="shared" si="37"/>
        <v>0</v>
      </c>
      <c r="CJ39" s="121">
        <f t="shared" si="37"/>
        <v>0</v>
      </c>
      <c r="CK39" s="121">
        <f t="shared" si="37"/>
        <v>0</v>
      </c>
      <c r="CL39" s="121">
        <f t="shared" si="37"/>
        <v>0</v>
      </c>
      <c r="CM39" s="121">
        <f t="shared" si="37"/>
        <v>0</v>
      </c>
      <c r="CN39" s="121">
        <f t="shared" si="37"/>
        <v>0</v>
      </c>
      <c r="CO39" s="121">
        <f t="shared" si="37"/>
        <v>0</v>
      </c>
      <c r="CP39" s="121">
        <f t="shared" si="37"/>
        <v>0</v>
      </c>
      <c r="CQ39" s="121">
        <f t="shared" si="37"/>
        <v>0</v>
      </c>
      <c r="CR39" s="121">
        <f t="shared" si="37"/>
        <v>0</v>
      </c>
      <c r="CS39" s="121">
        <f t="shared" si="37"/>
        <v>0</v>
      </c>
      <c r="CT39" s="121">
        <f t="shared" si="37"/>
        <v>0</v>
      </c>
      <c r="CU39" s="121">
        <f t="shared" si="37"/>
        <v>0</v>
      </c>
      <c r="CV39" s="121">
        <f t="shared" si="37"/>
        <v>0</v>
      </c>
      <c r="CW39" s="121">
        <f t="shared" si="37"/>
        <v>0</v>
      </c>
      <c r="CX39" s="121">
        <f t="shared" si="37"/>
        <v>0</v>
      </c>
      <c r="CY39" s="121">
        <f t="shared" si="37"/>
        <v>0</v>
      </c>
      <c r="CZ39" s="121">
        <f t="shared" si="37"/>
        <v>0</v>
      </c>
      <c r="DA39" s="121">
        <f t="shared" si="37"/>
        <v>0</v>
      </c>
      <c r="DB39" s="121">
        <f t="shared" si="37"/>
        <v>0</v>
      </c>
      <c r="DC39" s="121">
        <f t="shared" si="37"/>
        <v>0</v>
      </c>
      <c r="DD39" s="121">
        <f t="shared" si="37"/>
        <v>0</v>
      </c>
      <c r="DE39" s="121">
        <f t="shared" si="37"/>
        <v>0</v>
      </c>
      <c r="DF39" s="121">
        <f t="shared" si="37"/>
        <v>0</v>
      </c>
      <c r="DG39" s="121">
        <f t="shared" si="37"/>
        <v>0</v>
      </c>
      <c r="DH39" s="121">
        <f t="shared" si="37"/>
        <v>0</v>
      </c>
      <c r="DI39" s="121">
        <f t="shared" si="37"/>
        <v>0</v>
      </c>
      <c r="DJ39" s="121">
        <f t="shared" si="37"/>
        <v>0</v>
      </c>
      <c r="DK39" s="121">
        <f t="shared" si="37"/>
        <v>0</v>
      </c>
      <c r="DL39" s="121">
        <f t="shared" si="37"/>
        <v>0</v>
      </c>
      <c r="DM39" s="121">
        <f t="shared" si="37"/>
        <v>0</v>
      </c>
      <c r="DN39" s="121">
        <f t="shared" si="37"/>
        <v>0</v>
      </c>
      <c r="DO39" s="121">
        <f t="shared" si="37"/>
        <v>0</v>
      </c>
      <c r="DP39" s="121">
        <f t="shared" si="37"/>
        <v>0</v>
      </c>
      <c r="DQ39" s="121">
        <f t="shared" si="37"/>
        <v>0</v>
      </c>
      <c r="DR39" s="121">
        <f t="shared" si="37"/>
        <v>0</v>
      </c>
      <c r="DS39" s="121">
        <f t="shared" si="37"/>
        <v>0</v>
      </c>
      <c r="DT39" s="121">
        <f t="shared" si="37"/>
        <v>0</v>
      </c>
      <c r="DU39" s="121">
        <f t="shared" si="37"/>
        <v>0</v>
      </c>
      <c r="DV39" s="121">
        <f t="shared" si="37"/>
        <v>0</v>
      </c>
      <c r="DW39" s="121">
        <f t="shared" si="37"/>
        <v>0</v>
      </c>
      <c r="DX39" s="121">
        <f t="shared" si="37"/>
        <v>0</v>
      </c>
      <c r="DY39" s="121">
        <f t="shared" si="37"/>
        <v>0</v>
      </c>
      <c r="DZ39" s="121">
        <f t="shared" si="37"/>
        <v>0</v>
      </c>
      <c r="EA39" s="121">
        <f t="shared" si="37"/>
        <v>0</v>
      </c>
      <c r="EB39" s="121">
        <f t="shared" ref="EB39:GD39" si="38">EB40+EB41</f>
        <v>0</v>
      </c>
      <c r="EC39" s="121">
        <f t="shared" si="38"/>
        <v>0</v>
      </c>
      <c r="ED39" s="121">
        <f t="shared" si="38"/>
        <v>0</v>
      </c>
      <c r="EE39" s="121">
        <f t="shared" si="38"/>
        <v>0</v>
      </c>
      <c r="EF39" s="121">
        <f t="shared" si="38"/>
        <v>0</v>
      </c>
      <c r="EG39" s="121">
        <f t="shared" si="38"/>
        <v>0</v>
      </c>
      <c r="EH39" s="121">
        <f t="shared" si="38"/>
        <v>0</v>
      </c>
      <c r="EI39" s="121">
        <f t="shared" si="38"/>
        <v>0</v>
      </c>
      <c r="EJ39" s="121">
        <f t="shared" si="38"/>
        <v>0</v>
      </c>
      <c r="EK39" s="121">
        <f t="shared" si="38"/>
        <v>0</v>
      </c>
      <c r="EL39" s="121">
        <f t="shared" si="38"/>
        <v>0</v>
      </c>
      <c r="EM39" s="121">
        <f t="shared" si="38"/>
        <v>0</v>
      </c>
      <c r="EN39" s="121">
        <f t="shared" si="38"/>
        <v>0</v>
      </c>
      <c r="EO39" s="121">
        <f t="shared" si="38"/>
        <v>0</v>
      </c>
      <c r="EP39" s="121">
        <f t="shared" si="38"/>
        <v>0</v>
      </c>
      <c r="EQ39" s="121">
        <f t="shared" si="38"/>
        <v>0</v>
      </c>
      <c r="ER39" s="121">
        <f t="shared" si="38"/>
        <v>0</v>
      </c>
      <c r="ES39" s="121">
        <f t="shared" si="38"/>
        <v>0</v>
      </c>
      <c r="ET39" s="121">
        <f t="shared" si="38"/>
        <v>0</v>
      </c>
      <c r="EU39" s="121">
        <f t="shared" si="38"/>
        <v>0</v>
      </c>
      <c r="EV39" s="121">
        <f t="shared" si="38"/>
        <v>0</v>
      </c>
      <c r="EW39" s="121">
        <f t="shared" si="38"/>
        <v>0</v>
      </c>
      <c r="EX39" s="121">
        <f t="shared" si="38"/>
        <v>0</v>
      </c>
      <c r="EY39" s="121">
        <f t="shared" si="38"/>
        <v>0</v>
      </c>
      <c r="EZ39" s="121">
        <f t="shared" si="38"/>
        <v>0</v>
      </c>
      <c r="FA39" s="121">
        <f t="shared" si="38"/>
        <v>0</v>
      </c>
      <c r="FB39" s="121">
        <f t="shared" si="38"/>
        <v>0</v>
      </c>
      <c r="FC39" s="121">
        <f t="shared" si="38"/>
        <v>0</v>
      </c>
      <c r="FD39" s="121">
        <f t="shared" si="38"/>
        <v>0</v>
      </c>
      <c r="FE39" s="121">
        <f t="shared" si="38"/>
        <v>0</v>
      </c>
      <c r="FF39" s="121">
        <f t="shared" si="38"/>
        <v>0</v>
      </c>
      <c r="FG39" s="121">
        <f t="shared" si="38"/>
        <v>0</v>
      </c>
      <c r="FH39" s="121">
        <f t="shared" si="38"/>
        <v>0</v>
      </c>
      <c r="FI39" s="121">
        <f t="shared" si="38"/>
        <v>0</v>
      </c>
      <c r="FJ39" s="121">
        <f t="shared" si="38"/>
        <v>0</v>
      </c>
      <c r="FK39" s="121">
        <f t="shared" si="38"/>
        <v>0</v>
      </c>
      <c r="FL39" s="121">
        <f t="shared" si="38"/>
        <v>0</v>
      </c>
      <c r="FM39" s="121">
        <f t="shared" si="38"/>
        <v>0</v>
      </c>
      <c r="FN39" s="121">
        <f t="shared" si="38"/>
        <v>0</v>
      </c>
      <c r="FO39" s="121">
        <f t="shared" si="38"/>
        <v>0</v>
      </c>
      <c r="FP39" s="121">
        <f t="shared" si="38"/>
        <v>0</v>
      </c>
      <c r="FQ39" s="121">
        <f t="shared" si="38"/>
        <v>0</v>
      </c>
      <c r="FR39" s="121">
        <f t="shared" si="38"/>
        <v>0</v>
      </c>
      <c r="FS39" s="121">
        <f t="shared" si="38"/>
        <v>0</v>
      </c>
      <c r="FT39" s="121">
        <f t="shared" si="38"/>
        <v>0</v>
      </c>
      <c r="FU39" s="121">
        <f t="shared" si="38"/>
        <v>0</v>
      </c>
      <c r="FV39" s="121">
        <f t="shared" si="38"/>
        <v>0</v>
      </c>
      <c r="FW39" s="121">
        <f t="shared" si="38"/>
        <v>0</v>
      </c>
      <c r="FX39" s="121">
        <f t="shared" si="38"/>
        <v>0</v>
      </c>
      <c r="FY39" s="121">
        <f t="shared" si="38"/>
        <v>0</v>
      </c>
      <c r="FZ39" s="121">
        <f t="shared" si="38"/>
        <v>0</v>
      </c>
      <c r="GA39" s="121">
        <f t="shared" si="38"/>
        <v>0</v>
      </c>
      <c r="GB39" s="121">
        <f t="shared" si="38"/>
        <v>0</v>
      </c>
      <c r="GC39" s="121">
        <f t="shared" si="38"/>
        <v>0</v>
      </c>
      <c r="GD39" s="121">
        <f t="shared" si="38"/>
        <v>0</v>
      </c>
      <c r="GE39" s="121">
        <f>GE40+GE41</f>
        <v>0</v>
      </c>
      <c r="GF39" s="121">
        <f>GF40+GF41</f>
        <v>0</v>
      </c>
      <c r="GG39" s="121">
        <f>GG40+GG41</f>
        <v>0</v>
      </c>
      <c r="GH39" s="121">
        <f t="shared" ref="GH39:IQ39" si="39">GH40+GH41</f>
        <v>0</v>
      </c>
      <c r="GI39" s="121">
        <f t="shared" si="39"/>
        <v>0</v>
      </c>
      <c r="GJ39" s="121">
        <f t="shared" si="39"/>
        <v>0</v>
      </c>
      <c r="GK39" s="121">
        <f t="shared" si="39"/>
        <v>0</v>
      </c>
      <c r="GL39" s="121">
        <f t="shared" si="39"/>
        <v>0</v>
      </c>
      <c r="GM39" s="121">
        <f t="shared" si="39"/>
        <v>0</v>
      </c>
      <c r="GN39" s="121">
        <f t="shared" si="39"/>
        <v>0</v>
      </c>
      <c r="GO39" s="121">
        <f t="shared" si="39"/>
        <v>0</v>
      </c>
      <c r="GP39" s="121">
        <f t="shared" si="39"/>
        <v>0</v>
      </c>
      <c r="GQ39" s="121">
        <f t="shared" si="39"/>
        <v>0</v>
      </c>
      <c r="GR39" s="121">
        <f t="shared" si="39"/>
        <v>0</v>
      </c>
      <c r="GS39" s="121">
        <f t="shared" si="39"/>
        <v>0</v>
      </c>
      <c r="GT39" s="121">
        <f t="shared" si="39"/>
        <v>0</v>
      </c>
      <c r="GU39" s="121">
        <f t="shared" si="39"/>
        <v>0</v>
      </c>
      <c r="GV39" s="121">
        <f t="shared" si="39"/>
        <v>0</v>
      </c>
      <c r="GW39" s="121">
        <f t="shared" si="39"/>
        <v>0</v>
      </c>
      <c r="GX39" s="121">
        <f t="shared" si="39"/>
        <v>0</v>
      </c>
      <c r="GY39" s="121">
        <f t="shared" si="39"/>
        <v>0</v>
      </c>
      <c r="GZ39" s="121">
        <f t="shared" si="39"/>
        <v>0</v>
      </c>
      <c r="HA39" s="121">
        <f t="shared" si="39"/>
        <v>0</v>
      </c>
      <c r="HB39" s="121">
        <f t="shared" si="39"/>
        <v>0</v>
      </c>
      <c r="HC39" s="121">
        <f t="shared" si="39"/>
        <v>0</v>
      </c>
      <c r="HD39" s="121">
        <f t="shared" si="39"/>
        <v>0</v>
      </c>
      <c r="HE39" s="121">
        <f t="shared" si="39"/>
        <v>0</v>
      </c>
      <c r="HF39" s="121">
        <f t="shared" si="39"/>
        <v>0</v>
      </c>
      <c r="HG39" s="121">
        <f t="shared" si="39"/>
        <v>0</v>
      </c>
      <c r="HH39" s="121">
        <f t="shared" si="39"/>
        <v>0</v>
      </c>
      <c r="HI39" s="121">
        <f t="shared" si="39"/>
        <v>0</v>
      </c>
      <c r="HJ39" s="121">
        <f t="shared" si="39"/>
        <v>0</v>
      </c>
      <c r="HK39" s="121">
        <f t="shared" si="39"/>
        <v>0</v>
      </c>
      <c r="HL39" s="121">
        <f t="shared" si="39"/>
        <v>0</v>
      </c>
      <c r="HM39" s="121">
        <f t="shared" si="39"/>
        <v>0</v>
      </c>
      <c r="HN39" s="121">
        <f t="shared" si="39"/>
        <v>0</v>
      </c>
      <c r="HO39" s="121">
        <f t="shared" si="39"/>
        <v>0</v>
      </c>
      <c r="HP39" s="121">
        <f t="shared" si="39"/>
        <v>0</v>
      </c>
      <c r="HQ39" s="121">
        <f t="shared" si="39"/>
        <v>0</v>
      </c>
      <c r="HR39" s="121">
        <f t="shared" si="39"/>
        <v>0</v>
      </c>
      <c r="HS39" s="121">
        <f t="shared" si="39"/>
        <v>0</v>
      </c>
      <c r="HT39" s="121">
        <f t="shared" si="39"/>
        <v>0</v>
      </c>
      <c r="HU39" s="121">
        <f t="shared" si="39"/>
        <v>0</v>
      </c>
      <c r="HV39" s="121">
        <f t="shared" si="39"/>
        <v>0</v>
      </c>
      <c r="HW39" s="121">
        <f t="shared" si="39"/>
        <v>0</v>
      </c>
      <c r="HX39" s="121">
        <f t="shared" si="39"/>
        <v>0</v>
      </c>
      <c r="HY39" s="121">
        <f t="shared" si="39"/>
        <v>0</v>
      </c>
      <c r="HZ39" s="121">
        <f t="shared" si="39"/>
        <v>0</v>
      </c>
      <c r="IA39" s="121">
        <f t="shared" si="39"/>
        <v>0</v>
      </c>
      <c r="IB39" s="121">
        <f t="shared" si="39"/>
        <v>0</v>
      </c>
      <c r="IC39" s="121">
        <f t="shared" si="39"/>
        <v>0</v>
      </c>
      <c r="ID39" s="121">
        <f t="shared" si="39"/>
        <v>0</v>
      </c>
      <c r="IE39" s="121">
        <f t="shared" si="39"/>
        <v>0</v>
      </c>
      <c r="IF39" s="121">
        <f t="shared" si="39"/>
        <v>0</v>
      </c>
      <c r="IG39" s="121">
        <f t="shared" si="39"/>
        <v>0</v>
      </c>
      <c r="IH39" s="121">
        <f t="shared" si="39"/>
        <v>0</v>
      </c>
      <c r="II39" s="121">
        <f t="shared" si="39"/>
        <v>0</v>
      </c>
      <c r="IJ39" s="121">
        <f t="shared" si="39"/>
        <v>0</v>
      </c>
      <c r="IK39" s="121">
        <f t="shared" si="39"/>
        <v>0</v>
      </c>
      <c r="IL39" s="121">
        <f t="shared" si="39"/>
        <v>0</v>
      </c>
      <c r="IM39" s="121">
        <f t="shared" si="39"/>
        <v>0</v>
      </c>
      <c r="IN39" s="121">
        <f t="shared" si="39"/>
        <v>0</v>
      </c>
      <c r="IO39" s="121">
        <f t="shared" si="39"/>
        <v>0</v>
      </c>
      <c r="IP39" s="121">
        <f t="shared" si="39"/>
        <v>0</v>
      </c>
      <c r="IQ39" s="121">
        <f t="shared" si="39"/>
        <v>0</v>
      </c>
      <c r="IR39" s="121">
        <f t="shared" ref="IR39:KM39" si="40">IR40+IR41</f>
        <v>0</v>
      </c>
      <c r="IS39" s="121">
        <f t="shared" si="40"/>
        <v>0</v>
      </c>
      <c r="IT39" s="121">
        <f t="shared" si="40"/>
        <v>0</v>
      </c>
      <c r="IU39" s="121">
        <f t="shared" si="40"/>
        <v>0</v>
      </c>
      <c r="IV39" s="121">
        <f t="shared" si="40"/>
        <v>0</v>
      </c>
      <c r="IW39" s="121">
        <f t="shared" si="40"/>
        <v>0</v>
      </c>
      <c r="IX39" s="121">
        <f t="shared" si="40"/>
        <v>0</v>
      </c>
      <c r="IY39" s="121">
        <f t="shared" si="40"/>
        <v>0</v>
      </c>
      <c r="IZ39" s="121">
        <f t="shared" si="40"/>
        <v>0</v>
      </c>
      <c r="JA39" s="121">
        <f t="shared" si="40"/>
        <v>0</v>
      </c>
      <c r="JB39" s="121">
        <f t="shared" si="40"/>
        <v>0</v>
      </c>
      <c r="JC39" s="121">
        <f t="shared" si="40"/>
        <v>0</v>
      </c>
      <c r="JD39" s="121">
        <f t="shared" si="40"/>
        <v>0</v>
      </c>
      <c r="JE39" s="121">
        <f t="shared" si="40"/>
        <v>0</v>
      </c>
      <c r="JF39" s="121">
        <f t="shared" si="40"/>
        <v>0</v>
      </c>
      <c r="JG39" s="121">
        <f t="shared" si="40"/>
        <v>0</v>
      </c>
      <c r="JH39" s="121">
        <f t="shared" si="40"/>
        <v>0</v>
      </c>
      <c r="JI39" s="121">
        <f t="shared" si="40"/>
        <v>0</v>
      </c>
      <c r="JJ39" s="121">
        <f t="shared" si="40"/>
        <v>0</v>
      </c>
      <c r="JK39" s="121">
        <f t="shared" si="40"/>
        <v>0</v>
      </c>
      <c r="JL39" s="121">
        <f t="shared" si="40"/>
        <v>0</v>
      </c>
      <c r="JM39" s="121">
        <f t="shared" si="40"/>
        <v>0</v>
      </c>
      <c r="JN39" s="121">
        <f t="shared" si="40"/>
        <v>0</v>
      </c>
      <c r="JO39" s="121">
        <f t="shared" si="40"/>
        <v>0</v>
      </c>
      <c r="JP39" s="121">
        <f t="shared" si="40"/>
        <v>0</v>
      </c>
      <c r="JQ39" s="121">
        <f t="shared" si="40"/>
        <v>0</v>
      </c>
      <c r="JR39" s="121">
        <f t="shared" si="40"/>
        <v>0</v>
      </c>
      <c r="JS39" s="121">
        <f t="shared" si="40"/>
        <v>0</v>
      </c>
      <c r="JT39" s="121">
        <f t="shared" si="40"/>
        <v>0</v>
      </c>
      <c r="JU39" s="121">
        <f t="shared" si="40"/>
        <v>0</v>
      </c>
      <c r="JV39" s="121">
        <f t="shared" si="40"/>
        <v>0</v>
      </c>
      <c r="JW39" s="121">
        <f t="shared" si="40"/>
        <v>0</v>
      </c>
      <c r="JX39" s="121">
        <f t="shared" si="40"/>
        <v>0</v>
      </c>
      <c r="JY39" s="121">
        <f t="shared" si="40"/>
        <v>0</v>
      </c>
      <c r="JZ39" s="121">
        <f t="shared" si="40"/>
        <v>0</v>
      </c>
      <c r="KA39" s="121">
        <f t="shared" si="40"/>
        <v>0</v>
      </c>
      <c r="KB39" s="121">
        <f t="shared" si="40"/>
        <v>0</v>
      </c>
      <c r="KC39" s="121">
        <f t="shared" si="40"/>
        <v>0</v>
      </c>
      <c r="KD39" s="121">
        <f t="shared" si="40"/>
        <v>0</v>
      </c>
      <c r="KE39" s="121">
        <f t="shared" si="40"/>
        <v>0</v>
      </c>
      <c r="KF39" s="121">
        <f t="shared" si="40"/>
        <v>0</v>
      </c>
      <c r="KG39" s="121">
        <f t="shared" si="40"/>
        <v>0</v>
      </c>
      <c r="KH39" s="121">
        <f t="shared" si="40"/>
        <v>0</v>
      </c>
      <c r="KI39" s="121">
        <f t="shared" si="40"/>
        <v>0</v>
      </c>
      <c r="KJ39" s="121">
        <f t="shared" si="40"/>
        <v>0</v>
      </c>
      <c r="KK39" s="121">
        <f t="shared" si="40"/>
        <v>0</v>
      </c>
      <c r="KL39" s="121">
        <f t="shared" si="40"/>
        <v>0</v>
      </c>
      <c r="KM39" s="121">
        <f t="shared" si="40"/>
        <v>0</v>
      </c>
      <c r="KN39" s="121">
        <f t="shared" ref="KN39:LB39" si="41">KN40+KN41</f>
        <v>0</v>
      </c>
      <c r="KO39" s="121">
        <f t="shared" si="41"/>
        <v>0</v>
      </c>
      <c r="KP39" s="121">
        <f t="shared" si="41"/>
        <v>0</v>
      </c>
      <c r="KQ39" s="121">
        <f t="shared" si="41"/>
        <v>0</v>
      </c>
      <c r="KR39" s="121">
        <f t="shared" si="41"/>
        <v>0</v>
      </c>
      <c r="KS39" s="121">
        <f t="shared" si="41"/>
        <v>0</v>
      </c>
      <c r="KT39" s="121">
        <f t="shared" si="41"/>
        <v>0</v>
      </c>
      <c r="KU39" s="121">
        <f t="shared" si="41"/>
        <v>0</v>
      </c>
      <c r="KV39" s="121">
        <f t="shared" si="41"/>
        <v>0</v>
      </c>
      <c r="KW39" s="121">
        <f t="shared" si="41"/>
        <v>0</v>
      </c>
      <c r="KX39" s="121">
        <f t="shared" si="41"/>
        <v>0</v>
      </c>
      <c r="KY39" s="121">
        <f t="shared" si="41"/>
        <v>0</v>
      </c>
      <c r="KZ39" s="121">
        <f t="shared" si="41"/>
        <v>0</v>
      </c>
      <c r="LA39" s="121">
        <f t="shared" si="41"/>
        <v>0</v>
      </c>
      <c r="LB39" s="121">
        <f t="shared" si="41"/>
        <v>0</v>
      </c>
      <c r="LC39" s="121">
        <f t="shared" ref="LC39:MW39" si="42">LC40+LC41</f>
        <v>0</v>
      </c>
      <c r="LD39" s="121">
        <f t="shared" si="42"/>
        <v>0</v>
      </c>
      <c r="LE39" s="121">
        <f t="shared" si="42"/>
        <v>0</v>
      </c>
      <c r="LF39" s="121">
        <f t="shared" si="42"/>
        <v>0</v>
      </c>
      <c r="LG39" s="121">
        <f t="shared" si="42"/>
        <v>0</v>
      </c>
      <c r="LH39" s="121">
        <f t="shared" si="42"/>
        <v>0</v>
      </c>
      <c r="LI39" s="121">
        <f t="shared" si="42"/>
        <v>0</v>
      </c>
      <c r="LJ39" s="121">
        <f t="shared" si="42"/>
        <v>0</v>
      </c>
      <c r="LK39" s="121">
        <f t="shared" si="42"/>
        <v>0</v>
      </c>
      <c r="LL39" s="121">
        <f t="shared" si="42"/>
        <v>0</v>
      </c>
      <c r="LM39" s="121">
        <f t="shared" si="42"/>
        <v>0</v>
      </c>
      <c r="LN39" s="121">
        <f t="shared" si="42"/>
        <v>0</v>
      </c>
      <c r="LO39" s="121">
        <f t="shared" si="42"/>
        <v>0</v>
      </c>
      <c r="LP39" s="121">
        <f t="shared" si="42"/>
        <v>0</v>
      </c>
      <c r="LQ39" s="121">
        <f t="shared" si="42"/>
        <v>0</v>
      </c>
      <c r="LR39" s="121">
        <f t="shared" si="42"/>
        <v>0</v>
      </c>
      <c r="LS39" s="121">
        <f t="shared" si="42"/>
        <v>0</v>
      </c>
      <c r="LT39" s="121">
        <f t="shared" si="42"/>
        <v>0</v>
      </c>
      <c r="LU39" s="121">
        <f t="shared" si="42"/>
        <v>0</v>
      </c>
      <c r="LV39" s="121">
        <f t="shared" si="42"/>
        <v>0</v>
      </c>
      <c r="LW39" s="121">
        <f t="shared" si="42"/>
        <v>0</v>
      </c>
      <c r="LX39" s="121">
        <f t="shared" si="42"/>
        <v>0</v>
      </c>
      <c r="LY39" s="121">
        <f t="shared" si="42"/>
        <v>0</v>
      </c>
      <c r="LZ39" s="121">
        <f t="shared" si="42"/>
        <v>0</v>
      </c>
      <c r="MA39" s="121">
        <f t="shared" si="42"/>
        <v>0</v>
      </c>
      <c r="MB39" s="121">
        <f t="shared" si="42"/>
        <v>0</v>
      </c>
      <c r="MC39" s="121">
        <f t="shared" si="42"/>
        <v>0</v>
      </c>
      <c r="MD39" s="121">
        <f t="shared" si="42"/>
        <v>0</v>
      </c>
      <c r="ME39" s="121">
        <f t="shared" si="42"/>
        <v>0</v>
      </c>
      <c r="MF39" s="121">
        <f t="shared" si="42"/>
        <v>0</v>
      </c>
      <c r="MG39" s="121">
        <f t="shared" si="42"/>
        <v>0</v>
      </c>
      <c r="MH39" s="121">
        <f t="shared" si="42"/>
        <v>0</v>
      </c>
      <c r="MI39" s="121">
        <f t="shared" si="42"/>
        <v>0</v>
      </c>
      <c r="MJ39" s="121">
        <f t="shared" si="42"/>
        <v>0</v>
      </c>
      <c r="MK39" s="121">
        <f t="shared" si="42"/>
        <v>0</v>
      </c>
      <c r="ML39" s="121">
        <f t="shared" si="42"/>
        <v>0</v>
      </c>
      <c r="MM39" s="121">
        <f t="shared" si="42"/>
        <v>0</v>
      </c>
      <c r="MN39" s="121">
        <f t="shared" si="42"/>
        <v>0</v>
      </c>
      <c r="MO39" s="121">
        <f t="shared" si="42"/>
        <v>0</v>
      </c>
      <c r="MP39" s="121">
        <f t="shared" si="42"/>
        <v>0</v>
      </c>
      <c r="MQ39" s="121">
        <f t="shared" si="42"/>
        <v>0</v>
      </c>
      <c r="MR39" s="121">
        <f t="shared" si="42"/>
        <v>0</v>
      </c>
      <c r="MS39" s="121">
        <f t="shared" si="42"/>
        <v>0</v>
      </c>
      <c r="MT39" s="121">
        <f t="shared" si="42"/>
        <v>0</v>
      </c>
      <c r="MU39" s="121">
        <f t="shared" si="42"/>
        <v>0</v>
      </c>
      <c r="MV39" s="121">
        <f t="shared" si="42"/>
        <v>0</v>
      </c>
      <c r="MW39" s="121">
        <f t="shared" si="42"/>
        <v>0</v>
      </c>
      <c r="MX39" s="124"/>
    </row>
    <row r="40" spans="1:362" ht="13.5" thickBot="1" x14ac:dyDescent="0.25">
      <c r="A40" s="158" t="s">
        <v>543</v>
      </c>
      <c r="B40" s="159"/>
      <c r="C40" s="160">
        <f>SUM(D41:MW41)</f>
        <v>0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  <c r="IF40" s="138"/>
      <c r="IG40" s="138"/>
      <c r="IH40" s="138"/>
      <c r="II40" s="138"/>
      <c r="IJ40" s="138"/>
      <c r="IK40" s="138"/>
      <c r="IL40" s="138"/>
      <c r="IM40" s="138"/>
      <c r="IN40" s="138"/>
      <c r="IO40" s="138"/>
      <c r="IP40" s="138"/>
      <c r="IQ40" s="138"/>
      <c r="IR40" s="138"/>
      <c r="IS40" s="138"/>
      <c r="IT40" s="138"/>
      <c r="IU40" s="138"/>
      <c r="IV40" s="138"/>
      <c r="IW40" s="138"/>
      <c r="IX40" s="138"/>
      <c r="IY40" s="138"/>
      <c r="IZ40" s="138"/>
      <c r="JA40" s="138"/>
      <c r="JB40" s="138"/>
      <c r="JC40" s="138"/>
      <c r="JD40" s="138"/>
      <c r="JE40" s="138"/>
      <c r="JF40" s="138"/>
      <c r="JG40" s="138"/>
      <c r="JH40" s="138"/>
      <c r="JI40" s="138"/>
      <c r="JJ40" s="138"/>
      <c r="JK40" s="138"/>
      <c r="JL40" s="138"/>
      <c r="JM40" s="138"/>
      <c r="JN40" s="138"/>
      <c r="JO40" s="138"/>
      <c r="JP40" s="138"/>
      <c r="JQ40" s="138"/>
      <c r="JR40" s="138"/>
      <c r="JS40" s="138"/>
      <c r="JT40" s="138"/>
      <c r="JU40" s="138"/>
      <c r="JV40" s="138"/>
      <c r="JW40" s="138"/>
      <c r="JX40" s="138"/>
      <c r="JY40" s="138"/>
      <c r="JZ40" s="138"/>
      <c r="KA40" s="138"/>
      <c r="KB40" s="138"/>
      <c r="KC40" s="138"/>
      <c r="KD40" s="138"/>
      <c r="KE40" s="138"/>
      <c r="KF40" s="138"/>
      <c r="KG40" s="138"/>
      <c r="KH40" s="138"/>
      <c r="KI40" s="138"/>
      <c r="KJ40" s="138"/>
      <c r="KK40" s="138"/>
      <c r="KL40" s="138"/>
      <c r="KM40" s="138"/>
      <c r="KN40" s="138"/>
      <c r="KO40" s="138"/>
      <c r="KP40" s="138"/>
      <c r="KQ40" s="138"/>
      <c r="KR40" s="138"/>
      <c r="KS40" s="138"/>
      <c r="KT40" s="138"/>
      <c r="KU40" s="138"/>
      <c r="KV40" s="138"/>
      <c r="KW40" s="138"/>
      <c r="KX40" s="138"/>
      <c r="KY40" s="138"/>
      <c r="KZ40" s="138"/>
      <c r="LA40" s="138"/>
      <c r="LB40" s="138"/>
      <c r="LC40" s="138"/>
      <c r="LD40" s="138"/>
      <c r="LE40" s="138"/>
      <c r="LF40" s="138"/>
      <c r="LG40" s="138"/>
      <c r="LH40" s="138"/>
      <c r="LI40" s="138"/>
      <c r="LJ40" s="138"/>
      <c r="LK40" s="138"/>
      <c r="LL40" s="138"/>
      <c r="LM40" s="138"/>
      <c r="LN40" s="138"/>
      <c r="LO40" s="138"/>
      <c r="LP40" s="138"/>
      <c r="LQ40" s="138"/>
      <c r="LR40" s="138"/>
      <c r="LS40" s="138"/>
      <c r="LT40" s="138"/>
      <c r="LU40" s="138"/>
      <c r="LV40" s="138"/>
      <c r="LW40" s="138"/>
      <c r="LX40" s="138"/>
      <c r="LY40" s="138"/>
      <c r="LZ40" s="138"/>
      <c r="MA40" s="138"/>
      <c r="MB40" s="138"/>
      <c r="MC40" s="138"/>
      <c r="MD40" s="138"/>
      <c r="ME40" s="138"/>
      <c r="MF40" s="138"/>
      <c r="MG40" s="138"/>
      <c r="MH40" s="138"/>
      <c r="MI40" s="138"/>
      <c r="MJ40" s="138"/>
      <c r="MK40" s="138"/>
      <c r="ML40" s="138"/>
      <c r="MM40" s="138"/>
      <c r="MN40" s="138"/>
      <c r="MO40" s="138"/>
      <c r="MP40" s="138"/>
      <c r="MQ40" s="138"/>
      <c r="MR40" s="138"/>
      <c r="MS40" s="138"/>
      <c r="MT40" s="138"/>
      <c r="MU40" s="138"/>
      <c r="MV40" s="138"/>
      <c r="MW40" s="138"/>
      <c r="MX40" s="114"/>
    </row>
    <row r="41" spans="1:362" ht="10.5" customHeight="1" thickBot="1" x14ac:dyDescent="0.25">
      <c r="A41" s="155" t="s">
        <v>544</v>
      </c>
      <c r="B41" s="164">
        <v>1.6</v>
      </c>
      <c r="C41" s="165">
        <f>C43+C44+C45+C46+C47</f>
        <v>11429429.800000001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8"/>
      <c r="HN41" s="138"/>
      <c r="HO41" s="138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8"/>
      <c r="IC41" s="138"/>
      <c r="ID41" s="138"/>
      <c r="IE41" s="138"/>
      <c r="IF41" s="138"/>
      <c r="IG41" s="138"/>
      <c r="IH41" s="138"/>
      <c r="II41" s="138"/>
      <c r="IJ41" s="138"/>
      <c r="IK41" s="138"/>
      <c r="IL41" s="138"/>
      <c r="IM41" s="138"/>
      <c r="IN41" s="138"/>
      <c r="IO41" s="138"/>
      <c r="IP41" s="138"/>
      <c r="IQ41" s="138"/>
      <c r="IR41" s="138"/>
      <c r="IS41" s="138"/>
      <c r="IT41" s="138"/>
      <c r="IU41" s="138"/>
      <c r="IV41" s="138"/>
      <c r="IW41" s="138"/>
      <c r="IX41" s="138"/>
      <c r="IY41" s="138"/>
      <c r="IZ41" s="138"/>
      <c r="JA41" s="138"/>
      <c r="JB41" s="138"/>
      <c r="JC41" s="138"/>
      <c r="JD41" s="138"/>
      <c r="JE41" s="138"/>
      <c r="JF41" s="138"/>
      <c r="JG41" s="138"/>
      <c r="JH41" s="138"/>
      <c r="JI41" s="138"/>
      <c r="JJ41" s="138"/>
      <c r="JK41" s="138"/>
      <c r="JL41" s="138"/>
      <c r="JM41" s="138"/>
      <c r="JN41" s="138"/>
      <c r="JO41" s="138"/>
      <c r="JP41" s="138"/>
      <c r="JQ41" s="138"/>
      <c r="JR41" s="138"/>
      <c r="JS41" s="138"/>
      <c r="JT41" s="138"/>
      <c r="JU41" s="138"/>
      <c r="JV41" s="138"/>
      <c r="JW41" s="138"/>
      <c r="JX41" s="138"/>
      <c r="JY41" s="138"/>
      <c r="JZ41" s="138"/>
      <c r="KA41" s="138"/>
      <c r="KB41" s="138"/>
      <c r="KC41" s="138"/>
      <c r="KD41" s="138"/>
      <c r="KE41" s="138"/>
      <c r="KF41" s="138"/>
      <c r="KG41" s="138"/>
      <c r="KH41" s="138"/>
      <c r="KI41" s="138"/>
      <c r="KJ41" s="138"/>
      <c r="KK41" s="138"/>
      <c r="KL41" s="138"/>
      <c r="KM41" s="138"/>
      <c r="KN41" s="138"/>
      <c r="KO41" s="138"/>
      <c r="KP41" s="138"/>
      <c r="KQ41" s="138"/>
      <c r="KR41" s="138"/>
      <c r="KS41" s="138"/>
      <c r="KT41" s="138"/>
      <c r="KU41" s="138"/>
      <c r="KV41" s="138"/>
      <c r="KW41" s="138"/>
      <c r="KX41" s="138"/>
      <c r="KY41" s="138"/>
      <c r="KZ41" s="138"/>
      <c r="LA41" s="138"/>
      <c r="LB41" s="138"/>
      <c r="LC41" s="138"/>
      <c r="LD41" s="138"/>
      <c r="LE41" s="138"/>
      <c r="LF41" s="138"/>
      <c r="LG41" s="138"/>
      <c r="LH41" s="138"/>
      <c r="LI41" s="138"/>
      <c r="LJ41" s="138"/>
      <c r="LK41" s="138"/>
      <c r="LL41" s="138"/>
      <c r="LM41" s="138"/>
      <c r="LN41" s="138"/>
      <c r="LO41" s="138"/>
      <c r="LP41" s="138"/>
      <c r="LQ41" s="138"/>
      <c r="LR41" s="138"/>
      <c r="LS41" s="138"/>
      <c r="LT41" s="138"/>
      <c r="LU41" s="138"/>
      <c r="LV41" s="138"/>
      <c r="LW41" s="138"/>
      <c r="LX41" s="138"/>
      <c r="LY41" s="138"/>
      <c r="LZ41" s="138"/>
      <c r="MA41" s="138"/>
      <c r="MB41" s="138"/>
      <c r="MC41" s="138"/>
      <c r="MD41" s="138"/>
      <c r="ME41" s="138"/>
      <c r="MF41" s="138"/>
      <c r="MG41" s="138"/>
      <c r="MH41" s="138"/>
      <c r="MI41" s="138"/>
      <c r="MJ41" s="138"/>
      <c r="MK41" s="138"/>
      <c r="ML41" s="138"/>
      <c r="MM41" s="138"/>
      <c r="MN41" s="138"/>
      <c r="MO41" s="138"/>
      <c r="MP41" s="138"/>
      <c r="MQ41" s="138"/>
      <c r="MR41" s="138"/>
      <c r="MS41" s="138"/>
      <c r="MT41" s="138"/>
      <c r="MU41" s="138"/>
      <c r="MV41" s="138"/>
      <c r="MW41" s="138"/>
      <c r="MX41" s="114"/>
    </row>
    <row r="42" spans="1:362" s="3" customFormat="1" ht="9.75" customHeight="1" thickBot="1" x14ac:dyDescent="0.25">
      <c r="A42" s="158" t="s">
        <v>545</v>
      </c>
      <c r="B42" s="159"/>
      <c r="C42" s="160">
        <f>SUM(D43:MW43)</f>
        <v>74655.5</v>
      </c>
      <c r="D42" s="142">
        <f>D43+D44+D45+D46+D47</f>
        <v>0</v>
      </c>
      <c r="E42" s="142">
        <f t="shared" ref="E42:BP42" si="43">E43+E44+E45+E46+E47</f>
        <v>0</v>
      </c>
      <c r="F42" s="142">
        <f t="shared" si="43"/>
        <v>28000</v>
      </c>
      <c r="G42" s="142">
        <f t="shared" si="43"/>
        <v>0</v>
      </c>
      <c r="H42" s="142">
        <f t="shared" si="43"/>
        <v>0</v>
      </c>
      <c r="I42" s="142">
        <f t="shared" si="43"/>
        <v>0</v>
      </c>
      <c r="J42" s="142">
        <f t="shared" si="43"/>
        <v>0</v>
      </c>
      <c r="K42" s="142">
        <f t="shared" si="43"/>
        <v>0</v>
      </c>
      <c r="L42" s="142">
        <f t="shared" si="43"/>
        <v>21500</v>
      </c>
      <c r="M42" s="142">
        <f t="shared" si="43"/>
        <v>0</v>
      </c>
      <c r="N42" s="142">
        <f t="shared" si="43"/>
        <v>0</v>
      </c>
      <c r="O42" s="142">
        <f t="shared" si="43"/>
        <v>0</v>
      </c>
      <c r="P42" s="142">
        <f t="shared" si="43"/>
        <v>0</v>
      </c>
      <c r="Q42" s="142">
        <f t="shared" si="43"/>
        <v>0</v>
      </c>
      <c r="R42" s="142">
        <f t="shared" si="43"/>
        <v>0</v>
      </c>
      <c r="S42" s="142">
        <f t="shared" si="43"/>
        <v>0</v>
      </c>
      <c r="T42" s="142">
        <f t="shared" si="43"/>
        <v>0</v>
      </c>
      <c r="U42" s="142">
        <f t="shared" si="43"/>
        <v>0</v>
      </c>
      <c r="V42" s="142">
        <f t="shared" si="43"/>
        <v>0</v>
      </c>
      <c r="W42" s="142">
        <f t="shared" si="43"/>
        <v>2000</v>
      </c>
      <c r="X42" s="142">
        <f t="shared" si="43"/>
        <v>0</v>
      </c>
      <c r="Y42" s="142">
        <f t="shared" si="43"/>
        <v>0</v>
      </c>
      <c r="Z42" s="142">
        <f t="shared" si="43"/>
        <v>350</v>
      </c>
      <c r="AA42" s="142">
        <f t="shared" si="43"/>
        <v>0</v>
      </c>
      <c r="AB42" s="142">
        <f t="shared" si="43"/>
        <v>18000</v>
      </c>
      <c r="AC42" s="142">
        <f t="shared" si="43"/>
        <v>0</v>
      </c>
      <c r="AD42" s="142">
        <f t="shared" si="43"/>
        <v>0</v>
      </c>
      <c r="AE42" s="142">
        <f t="shared" si="43"/>
        <v>0</v>
      </c>
      <c r="AF42" s="142">
        <f t="shared" si="43"/>
        <v>0</v>
      </c>
      <c r="AG42" s="142">
        <f t="shared" si="43"/>
        <v>0</v>
      </c>
      <c r="AH42" s="142">
        <f t="shared" si="43"/>
        <v>0</v>
      </c>
      <c r="AI42" s="142">
        <f t="shared" si="43"/>
        <v>0</v>
      </c>
      <c r="AJ42" s="142">
        <f t="shared" si="43"/>
        <v>0</v>
      </c>
      <c r="AK42" s="142">
        <f t="shared" si="43"/>
        <v>0</v>
      </c>
      <c r="AL42" s="142">
        <f t="shared" si="43"/>
        <v>190</v>
      </c>
      <c r="AM42" s="142">
        <f t="shared" si="43"/>
        <v>5000</v>
      </c>
      <c r="AN42" s="142">
        <f t="shared" si="43"/>
        <v>0</v>
      </c>
      <c r="AO42" s="142">
        <f t="shared" si="43"/>
        <v>0</v>
      </c>
      <c r="AP42" s="142">
        <f t="shared" si="43"/>
        <v>0</v>
      </c>
      <c r="AQ42" s="142">
        <f t="shared" si="43"/>
        <v>0</v>
      </c>
      <c r="AR42" s="142">
        <f t="shared" si="43"/>
        <v>172218</v>
      </c>
      <c r="AS42" s="142">
        <f t="shared" si="43"/>
        <v>509500</v>
      </c>
      <c r="AT42" s="142">
        <f t="shared" si="43"/>
        <v>0</v>
      </c>
      <c r="AU42" s="142">
        <f t="shared" si="43"/>
        <v>0</v>
      </c>
      <c r="AV42" s="142">
        <f t="shared" si="43"/>
        <v>0</v>
      </c>
      <c r="AW42" s="142">
        <f t="shared" si="43"/>
        <v>0</v>
      </c>
      <c r="AX42" s="142">
        <f t="shared" si="43"/>
        <v>500</v>
      </c>
      <c r="AY42" s="142">
        <f t="shared" si="43"/>
        <v>20000</v>
      </c>
      <c r="AZ42" s="142">
        <f t="shared" si="43"/>
        <v>0</v>
      </c>
      <c r="BA42" s="142">
        <f t="shared" si="43"/>
        <v>0</v>
      </c>
      <c r="BB42" s="142">
        <f t="shared" si="43"/>
        <v>1200</v>
      </c>
      <c r="BC42" s="142">
        <f t="shared" si="43"/>
        <v>0</v>
      </c>
      <c r="BD42" s="142">
        <f t="shared" si="43"/>
        <v>0</v>
      </c>
      <c r="BE42" s="142">
        <f t="shared" si="43"/>
        <v>250</v>
      </c>
      <c r="BF42" s="142">
        <f t="shared" si="43"/>
        <v>500</v>
      </c>
      <c r="BG42" s="142">
        <f t="shared" si="43"/>
        <v>500</v>
      </c>
      <c r="BH42" s="142">
        <f t="shared" si="43"/>
        <v>0</v>
      </c>
      <c r="BI42" s="142">
        <f t="shared" si="43"/>
        <v>0</v>
      </c>
      <c r="BJ42" s="142">
        <f t="shared" si="43"/>
        <v>5000</v>
      </c>
      <c r="BK42" s="142">
        <f t="shared" si="43"/>
        <v>0</v>
      </c>
      <c r="BL42" s="142">
        <f t="shared" si="43"/>
        <v>10000</v>
      </c>
      <c r="BM42" s="142">
        <f t="shared" si="43"/>
        <v>3000</v>
      </c>
      <c r="BN42" s="142">
        <f t="shared" si="43"/>
        <v>1300</v>
      </c>
      <c r="BO42" s="142">
        <f t="shared" si="43"/>
        <v>0</v>
      </c>
      <c r="BP42" s="142">
        <f t="shared" si="43"/>
        <v>0</v>
      </c>
      <c r="BQ42" s="142">
        <f t="shared" ref="BQ42:EA42" si="44">BQ43+BQ44+BQ45+BQ46+BQ47</f>
        <v>1000</v>
      </c>
      <c r="BR42" s="142">
        <f t="shared" si="44"/>
        <v>0</v>
      </c>
      <c r="BS42" s="142">
        <f t="shared" si="44"/>
        <v>0</v>
      </c>
      <c r="BT42" s="142">
        <f t="shared" si="44"/>
        <v>1200</v>
      </c>
      <c r="BU42" s="142">
        <f t="shared" si="44"/>
        <v>0</v>
      </c>
      <c r="BV42" s="142">
        <f t="shared" si="44"/>
        <v>0</v>
      </c>
      <c r="BW42" s="142">
        <f t="shared" si="44"/>
        <v>0</v>
      </c>
      <c r="BX42" s="142">
        <f t="shared" si="44"/>
        <v>0</v>
      </c>
      <c r="BY42" s="142">
        <f t="shared" si="44"/>
        <v>0</v>
      </c>
      <c r="BZ42" s="142">
        <f t="shared" si="44"/>
        <v>0</v>
      </c>
      <c r="CA42" s="142">
        <f t="shared" si="44"/>
        <v>0</v>
      </c>
      <c r="CB42" s="142">
        <f t="shared" si="44"/>
        <v>0</v>
      </c>
      <c r="CC42" s="142">
        <f t="shared" si="44"/>
        <v>0</v>
      </c>
      <c r="CD42" s="142">
        <f t="shared" si="44"/>
        <v>0</v>
      </c>
      <c r="CE42" s="142">
        <f t="shared" si="44"/>
        <v>0</v>
      </c>
      <c r="CF42" s="142">
        <f t="shared" si="44"/>
        <v>0</v>
      </c>
      <c r="CG42" s="142">
        <f t="shared" si="44"/>
        <v>0</v>
      </c>
      <c r="CH42" s="142">
        <f t="shared" si="44"/>
        <v>2000</v>
      </c>
      <c r="CI42" s="142">
        <f t="shared" si="44"/>
        <v>0</v>
      </c>
      <c r="CJ42" s="142">
        <f t="shared" si="44"/>
        <v>2000</v>
      </c>
      <c r="CK42" s="142">
        <f t="shared" si="44"/>
        <v>0</v>
      </c>
      <c r="CL42" s="142">
        <f t="shared" si="44"/>
        <v>0</v>
      </c>
      <c r="CM42" s="142">
        <f t="shared" si="44"/>
        <v>5000</v>
      </c>
      <c r="CN42" s="142">
        <f t="shared" si="44"/>
        <v>0</v>
      </c>
      <c r="CO42" s="142">
        <f t="shared" si="44"/>
        <v>0</v>
      </c>
      <c r="CP42" s="142">
        <f t="shared" si="44"/>
        <v>5500</v>
      </c>
      <c r="CQ42" s="142">
        <f t="shared" si="44"/>
        <v>0</v>
      </c>
      <c r="CR42" s="142">
        <f t="shared" si="44"/>
        <v>0</v>
      </c>
      <c r="CS42" s="142">
        <f t="shared" si="44"/>
        <v>500</v>
      </c>
      <c r="CT42" s="142">
        <f t="shared" si="44"/>
        <v>0</v>
      </c>
      <c r="CU42" s="142">
        <f t="shared" si="44"/>
        <v>0</v>
      </c>
      <c r="CV42" s="142">
        <f t="shared" si="44"/>
        <v>0</v>
      </c>
      <c r="CW42" s="142">
        <f t="shared" si="44"/>
        <v>1000</v>
      </c>
      <c r="CX42" s="142">
        <f t="shared" si="44"/>
        <v>0</v>
      </c>
      <c r="CY42" s="142">
        <f t="shared" si="44"/>
        <v>3000</v>
      </c>
      <c r="CZ42" s="142">
        <f t="shared" si="44"/>
        <v>0</v>
      </c>
      <c r="DA42" s="142">
        <f t="shared" si="44"/>
        <v>0</v>
      </c>
      <c r="DB42" s="142">
        <f t="shared" si="44"/>
        <v>0</v>
      </c>
      <c r="DC42" s="142">
        <f t="shared" si="44"/>
        <v>0</v>
      </c>
      <c r="DD42" s="142">
        <f t="shared" si="44"/>
        <v>0</v>
      </c>
      <c r="DE42" s="142">
        <f t="shared" si="44"/>
        <v>0</v>
      </c>
      <c r="DF42" s="142">
        <f t="shared" si="44"/>
        <v>0</v>
      </c>
      <c r="DG42" s="142">
        <f t="shared" si="44"/>
        <v>0</v>
      </c>
      <c r="DH42" s="142">
        <f t="shared" si="44"/>
        <v>4200</v>
      </c>
      <c r="DI42" s="142">
        <f t="shared" si="44"/>
        <v>0</v>
      </c>
      <c r="DJ42" s="142">
        <f t="shared" si="44"/>
        <v>0</v>
      </c>
      <c r="DK42" s="142">
        <f t="shared" si="44"/>
        <v>11000</v>
      </c>
      <c r="DL42" s="142">
        <f t="shared" si="44"/>
        <v>0</v>
      </c>
      <c r="DM42" s="142">
        <f t="shared" si="44"/>
        <v>0</v>
      </c>
      <c r="DN42" s="142">
        <f t="shared" si="44"/>
        <v>3719.7</v>
      </c>
      <c r="DO42" s="142">
        <f t="shared" si="44"/>
        <v>0</v>
      </c>
      <c r="DP42" s="142">
        <f t="shared" si="44"/>
        <v>0</v>
      </c>
      <c r="DQ42" s="142">
        <f t="shared" si="44"/>
        <v>1000</v>
      </c>
      <c r="DR42" s="142">
        <f t="shared" si="44"/>
        <v>0</v>
      </c>
      <c r="DS42" s="142">
        <f t="shared" si="44"/>
        <v>0</v>
      </c>
      <c r="DT42" s="142">
        <f t="shared" si="44"/>
        <v>15000</v>
      </c>
      <c r="DU42" s="142">
        <f t="shared" si="44"/>
        <v>0</v>
      </c>
      <c r="DV42" s="142">
        <f t="shared" si="44"/>
        <v>0</v>
      </c>
      <c r="DW42" s="142">
        <f t="shared" si="44"/>
        <v>0</v>
      </c>
      <c r="DX42" s="142">
        <f t="shared" si="44"/>
        <v>0</v>
      </c>
      <c r="DY42" s="142">
        <f t="shared" si="44"/>
        <v>0</v>
      </c>
      <c r="DZ42" s="142">
        <f t="shared" si="44"/>
        <v>0</v>
      </c>
      <c r="EA42" s="142">
        <f t="shared" si="44"/>
        <v>0</v>
      </c>
      <c r="EB42" s="142">
        <f t="shared" ref="EB42:GD42" si="45">EB43+EB44+EB45+EB46+EB47</f>
        <v>38379</v>
      </c>
      <c r="EC42" s="142">
        <f t="shared" si="45"/>
        <v>0</v>
      </c>
      <c r="ED42" s="142">
        <f t="shared" si="45"/>
        <v>0</v>
      </c>
      <c r="EE42" s="142">
        <f t="shared" si="45"/>
        <v>0</v>
      </c>
      <c r="EF42" s="142">
        <f t="shared" si="45"/>
        <v>3800</v>
      </c>
      <c r="EG42" s="142">
        <f t="shared" si="45"/>
        <v>0</v>
      </c>
      <c r="EH42" s="142">
        <f t="shared" si="45"/>
        <v>0</v>
      </c>
      <c r="EI42" s="142">
        <f t="shared" si="45"/>
        <v>0</v>
      </c>
      <c r="EJ42" s="142">
        <f t="shared" si="45"/>
        <v>0</v>
      </c>
      <c r="EK42" s="142">
        <f t="shared" si="45"/>
        <v>0</v>
      </c>
      <c r="EL42" s="142">
        <f t="shared" si="45"/>
        <v>0</v>
      </c>
      <c r="EM42" s="142">
        <f t="shared" si="45"/>
        <v>0</v>
      </c>
      <c r="EN42" s="142">
        <f t="shared" si="45"/>
        <v>117520</v>
      </c>
      <c r="EO42" s="142">
        <f t="shared" si="45"/>
        <v>0</v>
      </c>
      <c r="EP42" s="142">
        <f t="shared" si="45"/>
        <v>0</v>
      </c>
      <c r="EQ42" s="142">
        <f t="shared" si="45"/>
        <v>0</v>
      </c>
      <c r="ER42" s="142">
        <f t="shared" si="45"/>
        <v>0</v>
      </c>
      <c r="ES42" s="142">
        <f t="shared" si="45"/>
        <v>0</v>
      </c>
      <c r="ET42" s="142">
        <f t="shared" si="45"/>
        <v>0</v>
      </c>
      <c r="EU42" s="142">
        <f t="shared" si="45"/>
        <v>0</v>
      </c>
      <c r="EV42" s="142">
        <f t="shared" si="45"/>
        <v>0</v>
      </c>
      <c r="EW42" s="142">
        <f t="shared" si="45"/>
        <v>3174.4</v>
      </c>
      <c r="EX42" s="142">
        <f t="shared" si="45"/>
        <v>500</v>
      </c>
      <c r="EY42" s="142">
        <f t="shared" si="45"/>
        <v>10000</v>
      </c>
      <c r="EZ42" s="142">
        <f t="shared" si="45"/>
        <v>0</v>
      </c>
      <c r="FA42" s="142">
        <f t="shared" si="45"/>
        <v>0</v>
      </c>
      <c r="FB42" s="142">
        <f t="shared" si="45"/>
        <v>0</v>
      </c>
      <c r="FC42" s="142">
        <f t="shared" si="45"/>
        <v>10000</v>
      </c>
      <c r="FD42" s="142">
        <f t="shared" si="45"/>
        <v>0</v>
      </c>
      <c r="FE42" s="142">
        <f t="shared" si="45"/>
        <v>0</v>
      </c>
      <c r="FF42" s="142">
        <f t="shared" si="45"/>
        <v>0</v>
      </c>
      <c r="FG42" s="142">
        <f t="shared" si="45"/>
        <v>0</v>
      </c>
      <c r="FH42" s="142">
        <f t="shared" si="45"/>
        <v>0</v>
      </c>
      <c r="FI42" s="142">
        <f t="shared" si="45"/>
        <v>0</v>
      </c>
      <c r="FJ42" s="142">
        <f t="shared" si="45"/>
        <v>0</v>
      </c>
      <c r="FK42" s="142">
        <f t="shared" si="45"/>
        <v>0</v>
      </c>
      <c r="FL42" s="142">
        <f t="shared" si="45"/>
        <v>0</v>
      </c>
      <c r="FM42" s="142">
        <f t="shared" si="45"/>
        <v>0</v>
      </c>
      <c r="FN42" s="142">
        <f t="shared" si="45"/>
        <v>0</v>
      </c>
      <c r="FO42" s="142">
        <f t="shared" si="45"/>
        <v>0</v>
      </c>
      <c r="FP42" s="142">
        <f t="shared" si="45"/>
        <v>0</v>
      </c>
      <c r="FQ42" s="142">
        <f t="shared" si="45"/>
        <v>10000</v>
      </c>
      <c r="FR42" s="141">
        <f t="shared" si="45"/>
        <v>28600</v>
      </c>
      <c r="FS42" s="142">
        <f t="shared" si="45"/>
        <v>0</v>
      </c>
      <c r="FT42" s="142">
        <f t="shared" si="45"/>
        <v>8920</v>
      </c>
      <c r="FU42" s="142">
        <f t="shared" si="45"/>
        <v>0</v>
      </c>
      <c r="FV42" s="142">
        <f t="shared" si="45"/>
        <v>0</v>
      </c>
      <c r="FW42" s="142">
        <f t="shared" si="45"/>
        <v>0</v>
      </c>
      <c r="FX42" s="142">
        <f t="shared" si="45"/>
        <v>6750</v>
      </c>
      <c r="FY42" s="142">
        <f t="shared" si="45"/>
        <v>1500</v>
      </c>
      <c r="FZ42" s="142">
        <f t="shared" si="45"/>
        <v>0</v>
      </c>
      <c r="GA42" s="142">
        <f t="shared" si="45"/>
        <v>0</v>
      </c>
      <c r="GB42" s="142">
        <f t="shared" si="45"/>
        <v>0</v>
      </c>
      <c r="GC42" s="142">
        <f t="shared" si="45"/>
        <v>0</v>
      </c>
      <c r="GD42" s="142">
        <f t="shared" si="45"/>
        <v>0</v>
      </c>
      <c r="GE42" s="142">
        <f>GE43+GE44+GE45+GE46+GE47</f>
        <v>0</v>
      </c>
      <c r="GF42" s="142">
        <f>GF43+GF44+GF45+GF46+GF47</f>
        <v>0</v>
      </c>
      <c r="GG42" s="142">
        <f>GG43+GG44+GG45+GG46+GG47</f>
        <v>0</v>
      </c>
      <c r="GH42" s="142">
        <f t="shared" ref="GH42:IQ42" si="46">GH43+GH44+GH45+GH46+GH47</f>
        <v>0</v>
      </c>
      <c r="GI42" s="142">
        <f t="shared" si="46"/>
        <v>0</v>
      </c>
      <c r="GJ42" s="142">
        <f t="shared" si="46"/>
        <v>0</v>
      </c>
      <c r="GK42" s="142">
        <f t="shared" si="46"/>
        <v>0</v>
      </c>
      <c r="GL42" s="142">
        <f t="shared" si="46"/>
        <v>0</v>
      </c>
      <c r="GM42" s="142">
        <f t="shared" si="46"/>
        <v>0</v>
      </c>
      <c r="GN42" s="142">
        <f t="shared" si="46"/>
        <v>0</v>
      </c>
      <c r="GO42" s="142">
        <f t="shared" si="46"/>
        <v>0</v>
      </c>
      <c r="GP42" s="142">
        <f t="shared" si="46"/>
        <v>0</v>
      </c>
      <c r="GQ42" s="142">
        <f t="shared" si="46"/>
        <v>2500</v>
      </c>
      <c r="GR42" s="142">
        <f t="shared" si="46"/>
        <v>0</v>
      </c>
      <c r="GS42" s="142">
        <f t="shared" si="46"/>
        <v>0</v>
      </c>
      <c r="GT42" s="142">
        <f t="shared" si="46"/>
        <v>0</v>
      </c>
      <c r="GU42" s="142">
        <f t="shared" si="46"/>
        <v>0</v>
      </c>
      <c r="GV42" s="142">
        <f t="shared" si="46"/>
        <v>0</v>
      </c>
      <c r="GW42" s="142">
        <f t="shared" si="46"/>
        <v>0</v>
      </c>
      <c r="GX42" s="142">
        <f t="shared" si="46"/>
        <v>2497</v>
      </c>
      <c r="GY42" s="142">
        <f t="shared" si="46"/>
        <v>0</v>
      </c>
      <c r="GZ42" s="142">
        <f t="shared" si="46"/>
        <v>0</v>
      </c>
      <c r="HA42" s="142">
        <f t="shared" si="46"/>
        <v>0</v>
      </c>
      <c r="HB42" s="142">
        <f t="shared" si="46"/>
        <v>0</v>
      </c>
      <c r="HC42" s="142">
        <f t="shared" si="46"/>
        <v>0</v>
      </c>
      <c r="HD42" s="142">
        <f t="shared" si="46"/>
        <v>0</v>
      </c>
      <c r="HE42" s="142">
        <f t="shared" si="46"/>
        <v>0</v>
      </c>
      <c r="HF42" s="142">
        <f t="shared" si="46"/>
        <v>0</v>
      </c>
      <c r="HG42" s="142">
        <f t="shared" si="46"/>
        <v>0</v>
      </c>
      <c r="HH42" s="142">
        <f t="shared" si="46"/>
        <v>0</v>
      </c>
      <c r="HI42" s="142">
        <f t="shared" si="46"/>
        <v>0</v>
      </c>
      <c r="HJ42" s="142">
        <f t="shared" si="46"/>
        <v>0</v>
      </c>
      <c r="HK42" s="142">
        <f t="shared" si="46"/>
        <v>0</v>
      </c>
      <c r="HL42" s="142">
        <f t="shared" si="46"/>
        <v>0</v>
      </c>
      <c r="HM42" s="142">
        <f t="shared" si="46"/>
        <v>2915</v>
      </c>
      <c r="HN42" s="142">
        <f t="shared" si="46"/>
        <v>0</v>
      </c>
      <c r="HO42" s="142">
        <f t="shared" si="46"/>
        <v>0</v>
      </c>
      <c r="HP42" s="142">
        <f t="shared" si="46"/>
        <v>0</v>
      </c>
      <c r="HQ42" s="142">
        <f t="shared" si="46"/>
        <v>0</v>
      </c>
      <c r="HR42" s="142">
        <f t="shared" si="46"/>
        <v>0</v>
      </c>
      <c r="HS42" s="142">
        <f t="shared" si="46"/>
        <v>0</v>
      </c>
      <c r="HT42" s="142">
        <f t="shared" si="46"/>
        <v>0</v>
      </c>
      <c r="HU42" s="142">
        <f t="shared" si="46"/>
        <v>0</v>
      </c>
      <c r="HV42" s="142">
        <f t="shared" si="46"/>
        <v>0</v>
      </c>
      <c r="HW42" s="142">
        <f t="shared" si="46"/>
        <v>0</v>
      </c>
      <c r="HX42" s="142">
        <f t="shared" si="46"/>
        <v>10500</v>
      </c>
      <c r="HY42" s="142">
        <f t="shared" si="46"/>
        <v>0</v>
      </c>
      <c r="HZ42" s="142">
        <f t="shared" si="46"/>
        <v>0</v>
      </c>
      <c r="IA42" s="142">
        <f t="shared" si="46"/>
        <v>0</v>
      </c>
      <c r="IB42" s="142">
        <f t="shared" si="46"/>
        <v>3500</v>
      </c>
      <c r="IC42" s="142">
        <f t="shared" si="46"/>
        <v>0</v>
      </c>
      <c r="ID42" s="142">
        <f t="shared" si="46"/>
        <v>0</v>
      </c>
      <c r="IE42" s="142">
        <f t="shared" si="46"/>
        <v>0</v>
      </c>
      <c r="IF42" s="142">
        <f t="shared" si="46"/>
        <v>0</v>
      </c>
      <c r="IG42" s="142">
        <f t="shared" si="46"/>
        <v>0</v>
      </c>
      <c r="IH42" s="142">
        <f t="shared" si="46"/>
        <v>1250</v>
      </c>
      <c r="II42" s="142">
        <f t="shared" si="46"/>
        <v>0</v>
      </c>
      <c r="IJ42" s="142">
        <f t="shared" si="46"/>
        <v>0</v>
      </c>
      <c r="IK42" s="142">
        <f t="shared" si="46"/>
        <v>5420</v>
      </c>
      <c r="IL42" s="142">
        <f t="shared" si="46"/>
        <v>0</v>
      </c>
      <c r="IM42" s="142">
        <f t="shared" si="46"/>
        <v>0</v>
      </c>
      <c r="IN42" s="142">
        <f t="shared" si="46"/>
        <v>0</v>
      </c>
      <c r="IO42" s="142">
        <f t="shared" si="46"/>
        <v>0</v>
      </c>
      <c r="IP42" s="142">
        <f t="shared" si="46"/>
        <v>1000</v>
      </c>
      <c r="IQ42" s="142">
        <f t="shared" si="46"/>
        <v>0</v>
      </c>
      <c r="IR42" s="142">
        <f t="shared" ref="IR42:KM42" si="47">IR43+IR44+IR45+IR46+IR47</f>
        <v>0</v>
      </c>
      <c r="IS42" s="142">
        <f t="shared" si="47"/>
        <v>0</v>
      </c>
      <c r="IT42" s="142">
        <f t="shared" si="47"/>
        <v>0</v>
      </c>
      <c r="IU42" s="142">
        <f t="shared" si="47"/>
        <v>7000</v>
      </c>
      <c r="IV42" s="142">
        <f t="shared" si="47"/>
        <v>0</v>
      </c>
      <c r="IW42" s="142">
        <f t="shared" si="47"/>
        <v>0</v>
      </c>
      <c r="IX42" s="142">
        <f t="shared" si="47"/>
        <v>0</v>
      </c>
      <c r="IY42" s="142">
        <f t="shared" si="47"/>
        <v>0</v>
      </c>
      <c r="IZ42" s="142">
        <f t="shared" si="47"/>
        <v>0</v>
      </c>
      <c r="JA42" s="142">
        <f t="shared" si="47"/>
        <v>0</v>
      </c>
      <c r="JB42" s="142">
        <f t="shared" si="47"/>
        <v>0</v>
      </c>
      <c r="JC42" s="142">
        <f t="shared" si="47"/>
        <v>0</v>
      </c>
      <c r="JD42" s="142">
        <f t="shared" si="47"/>
        <v>0</v>
      </c>
      <c r="JE42" s="142">
        <f t="shared" si="47"/>
        <v>0</v>
      </c>
      <c r="JF42" s="142">
        <f t="shared" si="47"/>
        <v>0</v>
      </c>
      <c r="JG42" s="142">
        <f t="shared" si="47"/>
        <v>0</v>
      </c>
      <c r="JH42" s="142">
        <f t="shared" si="47"/>
        <v>0</v>
      </c>
      <c r="JI42" s="142">
        <f t="shared" si="47"/>
        <v>0</v>
      </c>
      <c r="JJ42" s="142">
        <f t="shared" si="47"/>
        <v>5250</v>
      </c>
      <c r="JK42" s="142">
        <f t="shared" si="47"/>
        <v>0</v>
      </c>
      <c r="JL42" s="142">
        <f t="shared" si="47"/>
        <v>2000</v>
      </c>
      <c r="JM42" s="142">
        <f t="shared" si="47"/>
        <v>0</v>
      </c>
      <c r="JN42" s="142">
        <f t="shared" si="47"/>
        <v>3000</v>
      </c>
      <c r="JO42" s="142">
        <f t="shared" si="47"/>
        <v>1446</v>
      </c>
      <c r="JP42" s="142">
        <f t="shared" si="47"/>
        <v>0</v>
      </c>
      <c r="JQ42" s="142">
        <f t="shared" si="47"/>
        <v>0</v>
      </c>
      <c r="JR42" s="142">
        <f t="shared" si="47"/>
        <v>0</v>
      </c>
      <c r="JS42" s="142">
        <f t="shared" si="47"/>
        <v>0</v>
      </c>
      <c r="JT42" s="142">
        <f t="shared" si="47"/>
        <v>1900</v>
      </c>
      <c r="JU42" s="142">
        <f t="shared" si="47"/>
        <v>0</v>
      </c>
      <c r="JV42" s="142">
        <f t="shared" si="47"/>
        <v>0</v>
      </c>
      <c r="JW42" s="142">
        <f t="shared" si="47"/>
        <v>0</v>
      </c>
      <c r="JX42" s="142">
        <f t="shared" si="47"/>
        <v>0</v>
      </c>
      <c r="JY42" s="142">
        <f t="shared" si="47"/>
        <v>0</v>
      </c>
      <c r="JZ42" s="142">
        <f t="shared" si="47"/>
        <v>0</v>
      </c>
      <c r="KA42" s="142">
        <f t="shared" si="47"/>
        <v>0</v>
      </c>
      <c r="KB42" s="142">
        <f t="shared" si="47"/>
        <v>0</v>
      </c>
      <c r="KC42" s="142">
        <f t="shared" si="47"/>
        <v>0</v>
      </c>
      <c r="KD42" s="142">
        <f t="shared" si="47"/>
        <v>0</v>
      </c>
      <c r="KE42" s="142">
        <f t="shared" si="47"/>
        <v>0</v>
      </c>
      <c r="KF42" s="142">
        <f t="shared" si="47"/>
        <v>0</v>
      </c>
      <c r="KG42" s="142">
        <f t="shared" si="47"/>
        <v>0</v>
      </c>
      <c r="KH42" s="142">
        <f t="shared" si="47"/>
        <v>0</v>
      </c>
      <c r="KI42" s="142">
        <f t="shared" si="47"/>
        <v>0</v>
      </c>
      <c r="KJ42" s="142">
        <f t="shared" si="47"/>
        <v>0</v>
      </c>
      <c r="KK42" s="142">
        <f t="shared" si="47"/>
        <v>0</v>
      </c>
      <c r="KL42" s="142">
        <f t="shared" si="47"/>
        <v>0</v>
      </c>
      <c r="KM42" s="142">
        <f t="shared" si="47"/>
        <v>0</v>
      </c>
      <c r="KN42" s="142">
        <f t="shared" ref="KN42:LB42" si="48">KN43+KN44+KN45+KN46+KN47</f>
        <v>0</v>
      </c>
      <c r="KO42" s="142">
        <f t="shared" si="48"/>
        <v>0</v>
      </c>
      <c r="KP42" s="142">
        <f t="shared" si="48"/>
        <v>2000</v>
      </c>
      <c r="KQ42" s="142">
        <f t="shared" si="48"/>
        <v>0</v>
      </c>
      <c r="KR42" s="142">
        <f t="shared" si="48"/>
        <v>0</v>
      </c>
      <c r="KS42" s="142">
        <f t="shared" si="48"/>
        <v>0</v>
      </c>
      <c r="KT42" s="142">
        <f t="shared" si="48"/>
        <v>0</v>
      </c>
      <c r="KU42" s="142">
        <f t="shared" si="48"/>
        <v>0</v>
      </c>
      <c r="KV42" s="142">
        <f t="shared" si="48"/>
        <v>0</v>
      </c>
      <c r="KW42" s="142">
        <f t="shared" si="48"/>
        <v>851.5</v>
      </c>
      <c r="KX42" s="142">
        <f t="shared" si="48"/>
        <v>0</v>
      </c>
      <c r="KY42" s="142">
        <f t="shared" si="48"/>
        <v>0</v>
      </c>
      <c r="KZ42" s="142">
        <f t="shared" si="48"/>
        <v>0</v>
      </c>
      <c r="LA42" s="142">
        <f t="shared" si="48"/>
        <v>0</v>
      </c>
      <c r="LB42" s="142">
        <f t="shared" si="48"/>
        <v>0</v>
      </c>
      <c r="LC42" s="142">
        <f t="shared" ref="LC42:MW42" si="49">LC43+LC44+LC45+LC46+LC47</f>
        <v>0</v>
      </c>
      <c r="LD42" s="142">
        <f t="shared" si="49"/>
        <v>0</v>
      </c>
      <c r="LE42" s="142">
        <f t="shared" si="49"/>
        <v>0</v>
      </c>
      <c r="LF42" s="142">
        <f t="shared" si="49"/>
        <v>26140</v>
      </c>
      <c r="LG42" s="142">
        <f t="shared" si="49"/>
        <v>0</v>
      </c>
      <c r="LH42" s="142">
        <f t="shared" si="49"/>
        <v>0</v>
      </c>
      <c r="LI42" s="142">
        <f t="shared" si="49"/>
        <v>0</v>
      </c>
      <c r="LJ42" s="142">
        <f t="shared" si="49"/>
        <v>0</v>
      </c>
      <c r="LK42" s="142">
        <f t="shared" si="49"/>
        <v>0</v>
      </c>
      <c r="LL42" s="142">
        <f t="shared" si="49"/>
        <v>0</v>
      </c>
      <c r="LM42" s="142">
        <f t="shared" si="49"/>
        <v>0</v>
      </c>
      <c r="LN42" s="142">
        <f t="shared" si="49"/>
        <v>0</v>
      </c>
      <c r="LO42" s="142">
        <f t="shared" si="49"/>
        <v>0</v>
      </c>
      <c r="LP42" s="142">
        <f t="shared" si="49"/>
        <v>0</v>
      </c>
      <c r="LQ42" s="142">
        <f t="shared" si="49"/>
        <v>0</v>
      </c>
      <c r="LR42" s="142">
        <f t="shared" si="49"/>
        <v>0</v>
      </c>
      <c r="LS42" s="142">
        <f t="shared" si="49"/>
        <v>0</v>
      </c>
      <c r="LT42" s="142">
        <f t="shared" si="49"/>
        <v>0</v>
      </c>
      <c r="LU42" s="142">
        <f t="shared" si="49"/>
        <v>0</v>
      </c>
      <c r="LV42" s="142">
        <f t="shared" si="49"/>
        <v>250</v>
      </c>
      <c r="LW42" s="142">
        <f t="shared" si="49"/>
        <v>0</v>
      </c>
      <c r="LX42" s="142">
        <f t="shared" si="49"/>
        <v>0</v>
      </c>
      <c r="LY42" s="142">
        <f t="shared" si="49"/>
        <v>0</v>
      </c>
      <c r="LZ42" s="142">
        <f t="shared" si="49"/>
        <v>0</v>
      </c>
      <c r="MA42" s="142">
        <f t="shared" si="49"/>
        <v>0</v>
      </c>
      <c r="MB42" s="142">
        <f t="shared" si="49"/>
        <v>0</v>
      </c>
      <c r="MC42" s="142">
        <f t="shared" si="49"/>
        <v>0</v>
      </c>
      <c r="MD42" s="142">
        <f t="shared" si="49"/>
        <v>3000</v>
      </c>
      <c r="ME42" s="142">
        <f t="shared" si="49"/>
        <v>0</v>
      </c>
      <c r="MF42" s="142">
        <f t="shared" si="49"/>
        <v>0</v>
      </c>
      <c r="MG42" s="142">
        <f t="shared" si="49"/>
        <v>0</v>
      </c>
      <c r="MH42" s="142">
        <f t="shared" si="49"/>
        <v>0</v>
      </c>
      <c r="MI42" s="142">
        <f t="shared" si="49"/>
        <v>0</v>
      </c>
      <c r="MJ42" s="142">
        <f t="shared" si="49"/>
        <v>0</v>
      </c>
      <c r="MK42" s="142">
        <f t="shared" si="49"/>
        <v>2000</v>
      </c>
      <c r="ML42" s="142">
        <f t="shared" si="49"/>
        <v>2767668.7</v>
      </c>
      <c r="MM42" s="142">
        <f t="shared" si="49"/>
        <v>0</v>
      </c>
      <c r="MN42" s="142">
        <f t="shared" si="49"/>
        <v>0</v>
      </c>
      <c r="MO42" s="142">
        <f t="shared" si="49"/>
        <v>0</v>
      </c>
      <c r="MP42" s="142">
        <f t="shared" si="49"/>
        <v>0</v>
      </c>
      <c r="MQ42" s="142">
        <f t="shared" si="49"/>
        <v>0</v>
      </c>
      <c r="MR42" s="142">
        <f t="shared" si="49"/>
        <v>0</v>
      </c>
      <c r="MS42" s="142">
        <f t="shared" si="49"/>
        <v>0</v>
      </c>
      <c r="MT42" s="142">
        <f t="shared" si="49"/>
        <v>0</v>
      </c>
      <c r="MU42" s="142">
        <f t="shared" si="49"/>
        <v>0</v>
      </c>
      <c r="MV42" s="142">
        <f t="shared" si="49"/>
        <v>0</v>
      </c>
      <c r="MW42" s="142">
        <f t="shared" si="49"/>
        <v>0</v>
      </c>
      <c r="MX42" s="124"/>
    </row>
    <row r="43" spans="1:362" ht="10.5" customHeight="1" thickBot="1" x14ac:dyDescent="0.25">
      <c r="A43" s="158" t="s">
        <v>546</v>
      </c>
      <c r="B43" s="159"/>
      <c r="C43" s="160">
        <f>SUM(D44:MW44)</f>
        <v>772096.9</v>
      </c>
      <c r="D43" s="143"/>
      <c r="E43" s="143"/>
      <c r="F43" s="143"/>
      <c r="G43" s="143"/>
      <c r="H43" s="143"/>
      <c r="I43" s="143"/>
      <c r="J43" s="143"/>
      <c r="K43" s="138"/>
      <c r="L43" s="138">
        <v>1000</v>
      </c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>
        <v>22218</v>
      </c>
      <c r="AS43" s="138">
        <v>12500</v>
      </c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>
        <v>500</v>
      </c>
      <c r="BH43" s="138"/>
      <c r="BI43" s="138"/>
      <c r="BJ43" s="138"/>
      <c r="BK43" s="138"/>
      <c r="BL43" s="138"/>
      <c r="BM43" s="138">
        <v>3000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>
        <f>5000+500</f>
        <v>5500</v>
      </c>
      <c r="CQ43" s="138"/>
      <c r="CR43" s="138"/>
      <c r="CS43" s="138"/>
      <c r="CT43" s="138"/>
      <c r="CU43" s="138"/>
      <c r="CV43" s="138"/>
      <c r="CW43" s="138">
        <v>1000</v>
      </c>
      <c r="CX43" s="138"/>
      <c r="CY43" s="138">
        <v>3000</v>
      </c>
      <c r="CZ43" s="138"/>
      <c r="DA43" s="138"/>
      <c r="DB43" s="138"/>
      <c r="DC43" s="138"/>
      <c r="DD43" s="138"/>
      <c r="DE43" s="138"/>
      <c r="DF43" s="138"/>
      <c r="DG43" s="138"/>
      <c r="DH43" s="138">
        <v>1500</v>
      </c>
      <c r="DI43" s="138"/>
      <c r="DJ43" s="138"/>
      <c r="DK43" s="138"/>
      <c r="DL43" s="138"/>
      <c r="DM43" s="138"/>
      <c r="DN43" s="138"/>
      <c r="DO43" s="138"/>
      <c r="DP43" s="138"/>
      <c r="DQ43" s="138">
        <v>1000</v>
      </c>
      <c r="DR43" s="138"/>
      <c r="DS43" s="138"/>
      <c r="DT43" s="138">
        <v>3000</v>
      </c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>
        <f>3000</f>
        <v>3000</v>
      </c>
      <c r="EO43" s="138"/>
      <c r="EP43" s="138"/>
      <c r="EQ43" s="138"/>
      <c r="ER43" s="138"/>
      <c r="ES43" s="138"/>
      <c r="ET43" s="138"/>
      <c r="EU43" s="138"/>
      <c r="EV43" s="138"/>
      <c r="EW43" s="138">
        <v>500</v>
      </c>
      <c r="EX43" s="138">
        <v>500</v>
      </c>
      <c r="EY43" s="138"/>
      <c r="EZ43" s="138"/>
      <c r="FA43" s="138"/>
      <c r="FB43" s="138"/>
      <c r="FC43" s="138">
        <f>5140+2000</f>
        <v>7140</v>
      </c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44">
        <v>4500</v>
      </c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>
        <v>500</v>
      </c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38"/>
      <c r="JC43" s="138"/>
      <c r="JD43" s="138"/>
      <c r="JE43" s="138"/>
      <c r="JF43" s="138"/>
      <c r="JG43" s="138"/>
      <c r="JH43" s="138"/>
      <c r="JI43" s="138"/>
      <c r="JJ43" s="138"/>
      <c r="JK43" s="138"/>
      <c r="JL43" s="138"/>
      <c r="JM43" s="138"/>
      <c r="JN43" s="138"/>
      <c r="JO43" s="138">
        <v>1446</v>
      </c>
      <c r="JP43" s="138"/>
      <c r="JQ43" s="138"/>
      <c r="JR43" s="138"/>
      <c r="JS43" s="138"/>
      <c r="JT43" s="138"/>
      <c r="JU43" s="138"/>
      <c r="JV43" s="138"/>
      <c r="JW43" s="138"/>
      <c r="JX43" s="138"/>
      <c r="JY43" s="138"/>
      <c r="JZ43" s="138"/>
      <c r="KA43" s="138"/>
      <c r="KB43" s="138"/>
      <c r="KC43" s="138"/>
      <c r="KD43" s="138"/>
      <c r="KE43" s="138"/>
      <c r="KF43" s="138"/>
      <c r="KG43" s="138"/>
      <c r="KH43" s="138"/>
      <c r="KI43" s="138"/>
      <c r="KJ43" s="138"/>
      <c r="KK43" s="138"/>
      <c r="KL43" s="138"/>
      <c r="KM43" s="138"/>
      <c r="KN43" s="138"/>
      <c r="KO43" s="138"/>
      <c r="KP43" s="138">
        <f>1000+1000</f>
        <v>2000</v>
      </c>
      <c r="KQ43" s="138"/>
      <c r="KR43" s="138"/>
      <c r="KS43" s="138"/>
      <c r="KT43" s="138"/>
      <c r="KU43" s="138"/>
      <c r="KV43" s="138"/>
      <c r="KW43" s="138">
        <v>851.5</v>
      </c>
      <c r="KX43" s="138"/>
      <c r="KY43" s="138"/>
      <c r="KZ43" s="138"/>
      <c r="LA43" s="138"/>
      <c r="LB43" s="138"/>
      <c r="LC43" s="138"/>
      <c r="LD43" s="138"/>
      <c r="LE43" s="138"/>
      <c r="LF43" s="138"/>
      <c r="LG43" s="138"/>
      <c r="LH43" s="138"/>
      <c r="LI43" s="138"/>
      <c r="LJ43" s="138"/>
      <c r="LK43" s="138"/>
      <c r="LL43" s="138"/>
      <c r="LM43" s="138"/>
      <c r="LN43" s="138"/>
      <c r="LO43" s="138"/>
      <c r="LP43" s="138"/>
      <c r="LQ43" s="138"/>
      <c r="LR43" s="138"/>
      <c r="LS43" s="138"/>
      <c r="LT43" s="138"/>
      <c r="LU43" s="138"/>
      <c r="LV43" s="138"/>
      <c r="LW43" s="138"/>
      <c r="LX43" s="138"/>
      <c r="LY43" s="138"/>
      <c r="LZ43" s="138"/>
      <c r="MA43" s="138"/>
      <c r="MB43" s="138"/>
      <c r="MC43" s="138"/>
      <c r="MD43" s="138"/>
      <c r="ME43" s="138"/>
      <c r="MF43" s="138"/>
      <c r="MG43" s="138"/>
      <c r="MH43" s="138"/>
      <c r="MI43" s="138"/>
      <c r="MJ43" s="138"/>
      <c r="MK43" s="138"/>
      <c r="ML43" s="138"/>
      <c r="MM43" s="138"/>
      <c r="MN43" s="138"/>
      <c r="MO43" s="138"/>
      <c r="MP43" s="138"/>
      <c r="MQ43" s="138"/>
      <c r="MR43" s="138"/>
      <c r="MS43" s="138"/>
      <c r="MT43" s="138"/>
      <c r="MU43" s="138"/>
      <c r="MV43" s="138"/>
      <c r="MW43" s="138"/>
      <c r="MX43" s="114"/>
    </row>
    <row r="44" spans="1:362" ht="10.5" customHeight="1" thickBot="1" x14ac:dyDescent="0.25">
      <c r="A44" s="158" t="s">
        <v>547</v>
      </c>
      <c r="B44" s="159"/>
      <c r="C44" s="160">
        <f>SUM(D45:MW45)</f>
        <v>727193.5</v>
      </c>
      <c r="D44" s="138"/>
      <c r="E44" s="138"/>
      <c r="F44" s="138">
        <f>10000</f>
        <v>10000</v>
      </c>
      <c r="G44" s="138"/>
      <c r="H44" s="138"/>
      <c r="I44" s="138"/>
      <c r="J44" s="138"/>
      <c r="K44" s="138"/>
      <c r="L44" s="138">
        <v>20500</v>
      </c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>
        <v>18000</v>
      </c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>
        <f>5000</f>
        <v>5000</v>
      </c>
      <c r="AN44" s="138"/>
      <c r="AO44" s="138"/>
      <c r="AP44" s="138"/>
      <c r="AQ44" s="138"/>
      <c r="AR44" s="138"/>
      <c r="AS44" s="138">
        <v>497000</v>
      </c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>
        <v>2000</v>
      </c>
      <c r="BK44" s="138"/>
      <c r="BL44" s="138">
        <f>10000</f>
        <v>10000</v>
      </c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>
        <f>2000</f>
        <v>2000</v>
      </c>
      <c r="CI44" s="138"/>
      <c r="CJ44" s="138">
        <v>2000</v>
      </c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>
        <f>10000</f>
        <v>10000</v>
      </c>
      <c r="DL44" s="138"/>
      <c r="DM44" s="138"/>
      <c r="DN44" s="138"/>
      <c r="DO44" s="138"/>
      <c r="DP44" s="138"/>
      <c r="DQ44" s="138"/>
      <c r="DR44" s="138"/>
      <c r="DS44" s="138"/>
      <c r="DT44" s="138">
        <v>12000</v>
      </c>
      <c r="DU44" s="138"/>
      <c r="DV44" s="138"/>
      <c r="DW44" s="138"/>
      <c r="DX44" s="138"/>
      <c r="DY44" s="138"/>
      <c r="DZ44" s="138"/>
      <c r="EA44" s="138"/>
      <c r="EB44" s="145">
        <f>13000</f>
        <v>13000</v>
      </c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>
        <f>105831</f>
        <v>105831</v>
      </c>
      <c r="EO44" s="138"/>
      <c r="EP44" s="138"/>
      <c r="EQ44" s="138"/>
      <c r="ER44" s="138"/>
      <c r="ES44" s="138"/>
      <c r="ET44" s="138"/>
      <c r="EU44" s="138"/>
      <c r="EV44" s="138"/>
      <c r="EW44" s="138">
        <v>1000</v>
      </c>
      <c r="EX44" s="138"/>
      <c r="EY44" s="138"/>
      <c r="EZ44" s="138"/>
      <c r="FA44" s="138"/>
      <c r="FB44" s="138"/>
      <c r="FC44" s="138">
        <v>2500</v>
      </c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>
        <v>10000</v>
      </c>
      <c r="FR44" s="144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>
        <v>2000</v>
      </c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>
        <v>10500</v>
      </c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>
        <v>3000</v>
      </c>
      <c r="IL44" s="138"/>
      <c r="IM44" s="138"/>
      <c r="IN44" s="138"/>
      <c r="IO44" s="138"/>
      <c r="IP44" s="138"/>
      <c r="IQ44" s="138"/>
      <c r="IR44" s="138"/>
      <c r="IS44" s="138"/>
      <c r="IT44" s="138"/>
      <c r="IU44" s="138">
        <v>7000</v>
      </c>
      <c r="IV44" s="138"/>
      <c r="IW44" s="138"/>
      <c r="IX44" s="138"/>
      <c r="IY44" s="138"/>
      <c r="IZ44" s="138"/>
      <c r="JA44" s="138"/>
      <c r="JB44" s="138"/>
      <c r="JC44" s="138"/>
      <c r="JD44" s="138"/>
      <c r="JE44" s="138"/>
      <c r="JF44" s="138"/>
      <c r="JG44" s="138"/>
      <c r="JH44" s="138"/>
      <c r="JI44" s="138"/>
      <c r="JJ44" s="138"/>
      <c r="JK44" s="138"/>
      <c r="JL44" s="138">
        <f>2000</f>
        <v>2000</v>
      </c>
      <c r="JM44" s="138"/>
      <c r="JN44" s="138"/>
      <c r="JO44" s="138"/>
      <c r="JP44" s="138"/>
      <c r="JQ44" s="138"/>
      <c r="JR44" s="138"/>
      <c r="JS44" s="138"/>
      <c r="JT44" s="138"/>
      <c r="JU44" s="138"/>
      <c r="JV44" s="138"/>
      <c r="JW44" s="138"/>
      <c r="JX44" s="138"/>
      <c r="JY44" s="138"/>
      <c r="JZ44" s="138"/>
      <c r="KA44" s="138"/>
      <c r="KB44" s="138"/>
      <c r="KC44" s="138"/>
      <c r="KD44" s="138"/>
      <c r="KE44" s="138"/>
      <c r="KF44" s="138"/>
      <c r="KG44" s="138"/>
      <c r="KH44" s="138"/>
      <c r="KI44" s="138"/>
      <c r="KJ44" s="138"/>
      <c r="KK44" s="138"/>
      <c r="KL44" s="138"/>
      <c r="KM44" s="138"/>
      <c r="KN44" s="138"/>
      <c r="KO44" s="138"/>
      <c r="KP44" s="138"/>
      <c r="KQ44" s="138"/>
      <c r="KR44" s="138"/>
      <c r="KS44" s="138"/>
      <c r="KT44" s="138"/>
      <c r="KU44" s="138"/>
      <c r="KV44" s="138"/>
      <c r="KW44" s="138"/>
      <c r="KX44" s="138"/>
      <c r="KY44" s="138"/>
      <c r="KZ44" s="138"/>
      <c r="LA44" s="138"/>
      <c r="LB44" s="138"/>
      <c r="LC44" s="138"/>
      <c r="LD44" s="138"/>
      <c r="LE44" s="138"/>
      <c r="LF44" s="138"/>
      <c r="LG44" s="138"/>
      <c r="LH44" s="138"/>
      <c r="LI44" s="138"/>
      <c r="LJ44" s="138"/>
      <c r="LK44" s="138"/>
      <c r="LL44" s="138"/>
      <c r="LM44" s="138"/>
      <c r="LN44" s="138"/>
      <c r="LO44" s="138"/>
      <c r="LP44" s="138"/>
      <c r="LQ44" s="138"/>
      <c r="LR44" s="138"/>
      <c r="LS44" s="138"/>
      <c r="LT44" s="138"/>
      <c r="LU44" s="138"/>
      <c r="LV44" s="138"/>
      <c r="LW44" s="138"/>
      <c r="LX44" s="138"/>
      <c r="LY44" s="138"/>
      <c r="LZ44" s="138"/>
      <c r="MA44" s="138"/>
      <c r="MB44" s="138"/>
      <c r="MC44" s="138"/>
      <c r="MD44" s="138"/>
      <c r="ME44" s="138"/>
      <c r="MF44" s="138"/>
      <c r="MG44" s="138"/>
      <c r="MH44" s="138"/>
      <c r="MI44" s="138"/>
      <c r="MJ44" s="138"/>
      <c r="MK44" s="138">
        <v>2000</v>
      </c>
      <c r="ML44" s="138">
        <f>7765.9+17000</f>
        <v>24765.9</v>
      </c>
      <c r="MM44" s="138"/>
      <c r="MN44" s="138"/>
      <c r="MO44" s="138"/>
      <c r="MP44" s="138"/>
      <c r="MQ44" s="138"/>
      <c r="MR44" s="138"/>
      <c r="MS44" s="138"/>
      <c r="MT44" s="138"/>
      <c r="MU44" s="138"/>
      <c r="MV44" s="138"/>
      <c r="MW44" s="138"/>
      <c r="MX44" s="114"/>
    </row>
    <row r="45" spans="1:362" ht="11.25" customHeight="1" thickBot="1" x14ac:dyDescent="0.25">
      <c r="A45" s="166" t="s">
        <v>548</v>
      </c>
      <c r="B45" s="166"/>
      <c r="C45" s="161">
        <f>SUM(D46:MW46)</f>
        <v>0</v>
      </c>
      <c r="D45" s="119"/>
      <c r="E45" s="119"/>
      <c r="F45" s="119">
        <v>18000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>
        <v>2000</v>
      </c>
      <c r="X45" s="119"/>
      <c r="Y45" s="119"/>
      <c r="Z45" s="119">
        <f>350</f>
        <v>350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>
        <f>190</f>
        <v>190</v>
      </c>
      <c r="AM45" s="119"/>
      <c r="AN45" s="119"/>
      <c r="AO45" s="119"/>
      <c r="AP45" s="119"/>
      <c r="AQ45" s="119"/>
      <c r="AR45" s="119">
        <v>150000</v>
      </c>
      <c r="AS45" s="119"/>
      <c r="AT45" s="119"/>
      <c r="AU45" s="119"/>
      <c r="AV45" s="119"/>
      <c r="AW45" s="119"/>
      <c r="AX45" s="119">
        <f>500</f>
        <v>500</v>
      </c>
      <c r="AY45" s="119">
        <v>20000</v>
      </c>
      <c r="AZ45" s="119"/>
      <c r="BA45" s="119"/>
      <c r="BB45" s="119">
        <f>1200</f>
        <v>1200</v>
      </c>
      <c r="BC45" s="119"/>
      <c r="BD45" s="119"/>
      <c r="BE45" s="119">
        <f>250</f>
        <v>250</v>
      </c>
      <c r="BF45" s="119">
        <f>500</f>
        <v>500</v>
      </c>
      <c r="BG45" s="119"/>
      <c r="BH45" s="119"/>
      <c r="BI45" s="119"/>
      <c r="BJ45" s="119">
        <v>2000</v>
      </c>
      <c r="BK45" s="119"/>
      <c r="BL45" s="119"/>
      <c r="BM45" s="119"/>
      <c r="BN45" s="119">
        <f>1300</f>
        <v>1300</v>
      </c>
      <c r="BO45" s="119"/>
      <c r="BP45" s="119"/>
      <c r="BQ45" s="119">
        <f>1000</f>
        <v>1000</v>
      </c>
      <c r="BR45" s="119"/>
      <c r="BS45" s="119"/>
      <c r="BT45" s="119">
        <f>1200</f>
        <v>1200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>
        <v>5000</v>
      </c>
      <c r="CN45" s="119"/>
      <c r="CO45" s="119"/>
      <c r="CP45" s="119"/>
      <c r="CQ45" s="119"/>
      <c r="CR45" s="119"/>
      <c r="CS45" s="119">
        <f>500</f>
        <v>500</v>
      </c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>
        <v>2700</v>
      </c>
      <c r="DI45" s="119"/>
      <c r="DJ45" s="119"/>
      <c r="DK45" s="119">
        <f>1000</f>
        <v>1000</v>
      </c>
      <c r="DL45" s="119"/>
      <c r="DM45" s="119"/>
      <c r="DN45" s="119">
        <v>3719.7</v>
      </c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30">
        <f>25379</f>
        <v>25379</v>
      </c>
      <c r="EC45" s="119"/>
      <c r="ED45" s="119"/>
      <c r="EE45" s="119"/>
      <c r="EF45" s="119">
        <v>3800</v>
      </c>
      <c r="EG45" s="119"/>
      <c r="EH45" s="119"/>
      <c r="EI45" s="119"/>
      <c r="EJ45" s="119"/>
      <c r="EK45" s="119"/>
      <c r="EL45" s="119"/>
      <c r="EM45" s="119"/>
      <c r="EN45" s="119">
        <f>5700</f>
        <v>5700</v>
      </c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>
        <f>10000</f>
        <v>10000</v>
      </c>
      <c r="EZ45" s="119"/>
      <c r="FA45" s="119"/>
      <c r="FB45" s="119"/>
      <c r="FC45" s="119">
        <v>360</v>
      </c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46">
        <f>5300+16800+2000</f>
        <v>24100</v>
      </c>
      <c r="FS45" s="119"/>
      <c r="FT45" s="119">
        <f>2420+2000+3000+1500</f>
        <v>8920</v>
      </c>
      <c r="FU45" s="119"/>
      <c r="FV45" s="119"/>
      <c r="FW45" s="119"/>
      <c r="FX45" s="119"/>
      <c r="FY45" s="119">
        <f>1500</f>
        <v>1500</v>
      </c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>
        <v>500</v>
      </c>
      <c r="GR45" s="119"/>
      <c r="GS45" s="119"/>
      <c r="GT45" s="119"/>
      <c r="GU45" s="119"/>
      <c r="GV45" s="119"/>
      <c r="GW45" s="119"/>
      <c r="GX45" s="119">
        <f>2497</f>
        <v>2497</v>
      </c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>
        <f>2915</f>
        <v>2915</v>
      </c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>
        <f>3000+500</f>
        <v>3500</v>
      </c>
      <c r="IC45" s="119"/>
      <c r="ID45" s="119"/>
      <c r="IE45" s="119"/>
      <c r="IF45" s="119"/>
      <c r="IG45" s="119"/>
      <c r="IH45" s="119">
        <f>1250</f>
        <v>1250</v>
      </c>
      <c r="II45" s="119"/>
      <c r="IJ45" s="119"/>
      <c r="IK45" s="119">
        <f>300+1500+120</f>
        <v>1920</v>
      </c>
      <c r="IL45" s="119"/>
      <c r="IM45" s="119"/>
      <c r="IN45" s="119"/>
      <c r="IO45" s="119"/>
      <c r="IP45" s="119">
        <f>1000</f>
        <v>1000</v>
      </c>
      <c r="IQ45" s="119"/>
      <c r="IR45" s="119"/>
      <c r="IS45" s="119"/>
      <c r="IT45" s="119"/>
      <c r="IU45" s="119"/>
      <c r="IV45" s="119"/>
      <c r="IW45" s="119"/>
      <c r="IX45" s="119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>
        <f>5250</f>
        <v>5250</v>
      </c>
      <c r="JK45" s="119"/>
      <c r="JL45" s="119"/>
      <c r="JM45" s="119"/>
      <c r="JN45" s="119">
        <f>3000</f>
        <v>3000</v>
      </c>
      <c r="JO45" s="119"/>
      <c r="JP45" s="119"/>
      <c r="JQ45" s="119"/>
      <c r="JR45" s="119"/>
      <c r="JS45" s="119"/>
      <c r="JT45" s="119">
        <v>1900</v>
      </c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>
        <v>26140</v>
      </c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>
        <f>250</f>
        <v>250</v>
      </c>
      <c r="LW45" s="119"/>
      <c r="LX45" s="119"/>
      <c r="LY45" s="119"/>
      <c r="LZ45" s="119"/>
      <c r="MA45" s="119"/>
      <c r="MB45" s="119"/>
      <c r="MC45" s="119"/>
      <c r="MD45" s="119">
        <v>3000</v>
      </c>
      <c r="ME45" s="119"/>
      <c r="MF45" s="119"/>
      <c r="MG45" s="119"/>
      <c r="MH45" s="119"/>
      <c r="MI45" s="119"/>
      <c r="MJ45" s="119"/>
      <c r="MK45" s="119"/>
      <c r="ML45" s="119">
        <f>15000+13000+20000+89500+1160+3060+2094.3+1849.1+6407.9+57618.5+5300+1500+1849.1+1400+3000+17000+89500+15000+12463.9+26200</f>
        <v>382902.80000000005</v>
      </c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4"/>
    </row>
    <row r="46" spans="1:362" ht="10.5" customHeight="1" thickBot="1" x14ac:dyDescent="0.25">
      <c r="A46" s="166" t="s">
        <v>549</v>
      </c>
      <c r="B46" s="166"/>
      <c r="C46" s="161">
        <f>SUM(D47:MW47)</f>
        <v>2372413.4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38"/>
      <c r="JC46" s="138"/>
      <c r="JD46" s="138"/>
      <c r="JE46" s="138"/>
      <c r="JF46" s="138"/>
      <c r="JG46" s="138"/>
      <c r="JH46" s="138"/>
      <c r="JI46" s="138"/>
      <c r="JJ46" s="138"/>
      <c r="JK46" s="138"/>
      <c r="JL46" s="138"/>
      <c r="JM46" s="138"/>
      <c r="JN46" s="138"/>
      <c r="JO46" s="138"/>
      <c r="JP46" s="138"/>
      <c r="JQ46" s="138"/>
      <c r="JR46" s="138"/>
      <c r="JS46" s="138"/>
      <c r="JT46" s="138"/>
      <c r="JU46" s="138"/>
      <c r="JV46" s="138"/>
      <c r="JW46" s="138"/>
      <c r="JX46" s="138"/>
      <c r="JY46" s="138"/>
      <c r="JZ46" s="138"/>
      <c r="KA46" s="138"/>
      <c r="KB46" s="138"/>
      <c r="KC46" s="138"/>
      <c r="KD46" s="138"/>
      <c r="KE46" s="138"/>
      <c r="KF46" s="138"/>
      <c r="KG46" s="138"/>
      <c r="KH46" s="138"/>
      <c r="KI46" s="138"/>
      <c r="KJ46" s="138"/>
      <c r="KK46" s="138"/>
      <c r="KL46" s="138"/>
      <c r="KM46" s="138"/>
      <c r="KN46" s="138"/>
      <c r="KO46" s="138"/>
      <c r="KP46" s="138"/>
      <c r="KQ46" s="138"/>
      <c r="KR46" s="138"/>
      <c r="KS46" s="138"/>
      <c r="KT46" s="138"/>
      <c r="KU46" s="138"/>
      <c r="KV46" s="138"/>
      <c r="KW46" s="138"/>
      <c r="KX46" s="138"/>
      <c r="KY46" s="138"/>
      <c r="KZ46" s="138"/>
      <c r="LA46" s="138"/>
      <c r="LB46" s="138"/>
      <c r="LC46" s="138"/>
      <c r="LD46" s="138"/>
      <c r="LE46" s="138"/>
      <c r="LF46" s="138"/>
      <c r="LG46" s="138"/>
      <c r="LH46" s="138"/>
      <c r="LI46" s="138"/>
      <c r="LJ46" s="138"/>
      <c r="LK46" s="138"/>
      <c r="LL46" s="138"/>
      <c r="LM46" s="138"/>
      <c r="LN46" s="138"/>
      <c r="LO46" s="138"/>
      <c r="LP46" s="138"/>
      <c r="LQ46" s="138"/>
      <c r="LR46" s="138"/>
      <c r="LS46" s="138"/>
      <c r="LT46" s="138"/>
      <c r="LU46" s="138"/>
      <c r="LV46" s="138"/>
      <c r="LW46" s="138"/>
      <c r="LX46" s="138"/>
      <c r="LY46" s="138"/>
      <c r="LZ46" s="138"/>
      <c r="MA46" s="138"/>
      <c r="MB46" s="138"/>
      <c r="MC46" s="138"/>
      <c r="MD46" s="138"/>
      <c r="ME46" s="138"/>
      <c r="MF46" s="138"/>
      <c r="MG46" s="138"/>
      <c r="MH46" s="138"/>
      <c r="MI46" s="138"/>
      <c r="MJ46" s="138"/>
      <c r="MK46" s="138"/>
      <c r="ML46" s="138"/>
      <c r="MM46" s="138"/>
      <c r="MN46" s="138"/>
      <c r="MO46" s="138"/>
      <c r="MP46" s="138"/>
      <c r="MQ46" s="138"/>
      <c r="MR46" s="138"/>
      <c r="MS46" s="138"/>
      <c r="MT46" s="138"/>
      <c r="MU46" s="138"/>
      <c r="MV46" s="138"/>
      <c r="MW46" s="138"/>
      <c r="MX46" s="114"/>
    </row>
    <row r="47" spans="1:362" ht="9.75" customHeight="1" thickBot="1" x14ac:dyDescent="0.25">
      <c r="A47" s="167" t="s">
        <v>550</v>
      </c>
      <c r="B47" s="168">
        <v>41646</v>
      </c>
      <c r="C47" s="169">
        <f>C49+C50</f>
        <v>7557726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>
        <v>1000</v>
      </c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>
        <f>2989</f>
        <v>2989</v>
      </c>
      <c r="EO47" s="138"/>
      <c r="EP47" s="138"/>
      <c r="EQ47" s="138"/>
      <c r="ER47" s="138"/>
      <c r="ES47" s="138"/>
      <c r="ET47" s="138"/>
      <c r="EU47" s="138"/>
      <c r="EV47" s="138"/>
      <c r="EW47" s="138">
        <v>1674.4</v>
      </c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>
        <v>6750</v>
      </c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38"/>
      <c r="JC47" s="138"/>
      <c r="JD47" s="138"/>
      <c r="JE47" s="138"/>
      <c r="JF47" s="138"/>
      <c r="JG47" s="138"/>
      <c r="JH47" s="138"/>
      <c r="JI47" s="138"/>
      <c r="JJ47" s="138"/>
      <c r="JK47" s="138"/>
      <c r="JL47" s="138"/>
      <c r="JM47" s="138"/>
      <c r="JN47" s="138"/>
      <c r="JO47" s="138"/>
      <c r="JP47" s="138"/>
      <c r="JQ47" s="138"/>
      <c r="JR47" s="138"/>
      <c r="JS47" s="138"/>
      <c r="JT47" s="138"/>
      <c r="JU47" s="138"/>
      <c r="JV47" s="138"/>
      <c r="JW47" s="138"/>
      <c r="JX47" s="138"/>
      <c r="JY47" s="138"/>
      <c r="JZ47" s="138"/>
      <c r="KA47" s="138"/>
      <c r="KB47" s="138"/>
      <c r="KC47" s="138"/>
      <c r="KD47" s="138"/>
      <c r="KE47" s="138"/>
      <c r="KF47" s="138"/>
      <c r="KG47" s="138"/>
      <c r="KH47" s="138"/>
      <c r="KI47" s="138"/>
      <c r="KJ47" s="138"/>
      <c r="KK47" s="138"/>
      <c r="KL47" s="138"/>
      <c r="KM47" s="138"/>
      <c r="KN47" s="138"/>
      <c r="KO47" s="138"/>
      <c r="KP47" s="138"/>
      <c r="KQ47" s="138"/>
      <c r="KR47" s="138"/>
      <c r="KS47" s="138"/>
      <c r="KT47" s="138"/>
      <c r="KU47" s="138"/>
      <c r="KV47" s="138"/>
      <c r="KW47" s="138"/>
      <c r="KX47" s="138"/>
      <c r="KY47" s="138"/>
      <c r="KZ47" s="138"/>
      <c r="LA47" s="138"/>
      <c r="LB47" s="138"/>
      <c r="LC47" s="138"/>
      <c r="LD47" s="138"/>
      <c r="LE47" s="138"/>
      <c r="LF47" s="138"/>
      <c r="LG47" s="138"/>
      <c r="LH47" s="138"/>
      <c r="LI47" s="138"/>
      <c r="LJ47" s="138"/>
      <c r="LK47" s="138"/>
      <c r="LL47" s="138"/>
      <c r="LM47" s="138"/>
      <c r="LN47" s="138"/>
      <c r="LO47" s="138"/>
      <c r="LP47" s="138"/>
      <c r="LQ47" s="138"/>
      <c r="LR47" s="138"/>
      <c r="LS47" s="138"/>
      <c r="LT47" s="138"/>
      <c r="LU47" s="138"/>
      <c r="LV47" s="138"/>
      <c r="LW47" s="138"/>
      <c r="LX47" s="138"/>
      <c r="LY47" s="138"/>
      <c r="LZ47" s="138"/>
      <c r="MA47" s="138"/>
      <c r="MB47" s="138"/>
      <c r="MC47" s="138"/>
      <c r="MD47" s="138"/>
      <c r="ME47" s="138"/>
      <c r="MF47" s="138"/>
      <c r="MG47" s="138"/>
      <c r="MH47" s="138"/>
      <c r="MI47" s="138"/>
      <c r="MJ47" s="138"/>
      <c r="MK47" s="138"/>
      <c r="ML47" s="138">
        <v>2360000</v>
      </c>
      <c r="MM47" s="138"/>
      <c r="MN47" s="138"/>
      <c r="MO47" s="138"/>
      <c r="MP47" s="138"/>
      <c r="MQ47" s="138"/>
      <c r="MR47" s="138"/>
      <c r="MS47" s="138"/>
      <c r="MT47" s="138"/>
      <c r="MU47" s="138"/>
      <c r="MV47" s="138"/>
      <c r="MW47" s="138"/>
      <c r="MX47" s="114"/>
    </row>
    <row r="48" spans="1:362" ht="12" customHeight="1" thickBot="1" x14ac:dyDescent="0.25">
      <c r="A48" s="166" t="s">
        <v>551</v>
      </c>
      <c r="B48" s="166"/>
      <c r="C48" s="161">
        <f>SUM(D49:MW49)</f>
        <v>248436.19999999998</v>
      </c>
      <c r="D48" s="142">
        <f>D49+D50</f>
        <v>0</v>
      </c>
      <c r="E48" s="142">
        <f t="shared" ref="E48:BP48" si="50">E49+E50</f>
        <v>0</v>
      </c>
      <c r="F48" s="142">
        <f t="shared" si="50"/>
        <v>53000</v>
      </c>
      <c r="G48" s="142">
        <f t="shared" si="50"/>
        <v>857.9</v>
      </c>
      <c r="H48" s="142">
        <f t="shared" si="50"/>
        <v>0</v>
      </c>
      <c r="I48" s="142">
        <f t="shared" si="50"/>
        <v>0</v>
      </c>
      <c r="J48" s="142">
        <f t="shared" si="50"/>
        <v>6000</v>
      </c>
      <c r="K48" s="142">
        <f t="shared" si="50"/>
        <v>0</v>
      </c>
      <c r="L48" s="142">
        <f t="shared" si="50"/>
        <v>1600</v>
      </c>
      <c r="M48" s="142">
        <f t="shared" si="50"/>
        <v>0</v>
      </c>
      <c r="N48" s="142">
        <f t="shared" si="50"/>
        <v>0</v>
      </c>
      <c r="O48" s="142">
        <f t="shared" si="50"/>
        <v>0</v>
      </c>
      <c r="P48" s="142">
        <f t="shared" si="50"/>
        <v>0</v>
      </c>
      <c r="Q48" s="142">
        <f t="shared" si="50"/>
        <v>0</v>
      </c>
      <c r="R48" s="142">
        <f t="shared" si="50"/>
        <v>0</v>
      </c>
      <c r="S48" s="142">
        <f t="shared" si="50"/>
        <v>0</v>
      </c>
      <c r="T48" s="142">
        <f t="shared" si="50"/>
        <v>0</v>
      </c>
      <c r="U48" s="142">
        <f t="shared" si="50"/>
        <v>1280</v>
      </c>
      <c r="V48" s="142">
        <f t="shared" si="50"/>
        <v>1000</v>
      </c>
      <c r="W48" s="142">
        <f t="shared" si="50"/>
        <v>4000</v>
      </c>
      <c r="X48" s="142">
        <f t="shared" si="50"/>
        <v>0</v>
      </c>
      <c r="Y48" s="142">
        <f t="shared" si="50"/>
        <v>0</v>
      </c>
      <c r="Z48" s="142">
        <f t="shared" si="50"/>
        <v>2950</v>
      </c>
      <c r="AA48" s="142">
        <f t="shared" si="50"/>
        <v>11304</v>
      </c>
      <c r="AB48" s="142">
        <f t="shared" si="50"/>
        <v>16400</v>
      </c>
      <c r="AC48" s="142">
        <f t="shared" si="50"/>
        <v>0</v>
      </c>
      <c r="AD48" s="142">
        <f t="shared" si="50"/>
        <v>0</v>
      </c>
      <c r="AE48" s="142">
        <f t="shared" si="50"/>
        <v>19235</v>
      </c>
      <c r="AF48" s="142">
        <f t="shared" si="50"/>
        <v>0</v>
      </c>
      <c r="AG48" s="142">
        <f t="shared" si="50"/>
        <v>153500</v>
      </c>
      <c r="AH48" s="142">
        <f t="shared" si="50"/>
        <v>4100</v>
      </c>
      <c r="AI48" s="142">
        <f t="shared" si="50"/>
        <v>0</v>
      </c>
      <c r="AJ48" s="142">
        <f t="shared" si="50"/>
        <v>0</v>
      </c>
      <c r="AK48" s="142">
        <f t="shared" si="50"/>
        <v>0</v>
      </c>
      <c r="AL48" s="142">
        <f t="shared" si="50"/>
        <v>0</v>
      </c>
      <c r="AM48" s="142">
        <f t="shared" si="50"/>
        <v>0</v>
      </c>
      <c r="AN48" s="142">
        <f t="shared" si="50"/>
        <v>0</v>
      </c>
      <c r="AO48" s="142">
        <f t="shared" si="50"/>
        <v>0</v>
      </c>
      <c r="AP48" s="142">
        <f t="shared" si="50"/>
        <v>1000</v>
      </c>
      <c r="AQ48" s="142">
        <f t="shared" si="50"/>
        <v>0</v>
      </c>
      <c r="AR48" s="142">
        <f t="shared" si="50"/>
        <v>61074</v>
      </c>
      <c r="AS48" s="142">
        <f t="shared" si="50"/>
        <v>107558</v>
      </c>
      <c r="AT48" s="142">
        <f t="shared" si="50"/>
        <v>1400</v>
      </c>
      <c r="AU48" s="142">
        <f t="shared" si="50"/>
        <v>0</v>
      </c>
      <c r="AV48" s="142">
        <f t="shared" si="50"/>
        <v>0</v>
      </c>
      <c r="AW48" s="142">
        <f t="shared" si="50"/>
        <v>62980</v>
      </c>
      <c r="AX48" s="142">
        <f t="shared" si="50"/>
        <v>2698500</v>
      </c>
      <c r="AY48" s="142">
        <f t="shared" si="50"/>
        <v>3000</v>
      </c>
      <c r="AZ48" s="142">
        <f t="shared" si="50"/>
        <v>0</v>
      </c>
      <c r="BA48" s="142">
        <f t="shared" si="50"/>
        <v>0</v>
      </c>
      <c r="BB48" s="142">
        <f t="shared" si="50"/>
        <v>4800</v>
      </c>
      <c r="BC48" s="142">
        <f t="shared" si="50"/>
        <v>6847</v>
      </c>
      <c r="BD48" s="142">
        <f t="shared" si="50"/>
        <v>0</v>
      </c>
      <c r="BE48" s="142">
        <f t="shared" si="50"/>
        <v>0</v>
      </c>
      <c r="BF48" s="142">
        <f t="shared" si="50"/>
        <v>0</v>
      </c>
      <c r="BG48" s="142">
        <f t="shared" si="50"/>
        <v>19500</v>
      </c>
      <c r="BH48" s="142">
        <f t="shared" si="50"/>
        <v>0</v>
      </c>
      <c r="BI48" s="142">
        <f t="shared" si="50"/>
        <v>0</v>
      </c>
      <c r="BJ48" s="142" t="s">
        <v>470</v>
      </c>
      <c r="BK48" s="142">
        <f t="shared" si="50"/>
        <v>0</v>
      </c>
      <c r="BL48" s="142">
        <f t="shared" si="50"/>
        <v>30000</v>
      </c>
      <c r="BM48" s="142">
        <f t="shared" si="50"/>
        <v>1150</v>
      </c>
      <c r="BN48" s="142">
        <f t="shared" si="50"/>
        <v>0</v>
      </c>
      <c r="BO48" s="142">
        <f t="shared" si="50"/>
        <v>0</v>
      </c>
      <c r="BP48" s="142">
        <f t="shared" si="50"/>
        <v>0</v>
      </c>
      <c r="BQ48" s="142">
        <f t="shared" ref="BQ48:EA48" si="51">BQ49+BQ50</f>
        <v>0</v>
      </c>
      <c r="BR48" s="142">
        <f t="shared" si="51"/>
        <v>4500</v>
      </c>
      <c r="BS48" s="142">
        <f t="shared" si="51"/>
        <v>200</v>
      </c>
      <c r="BT48" s="142">
        <f t="shared" si="51"/>
        <v>0</v>
      </c>
      <c r="BU48" s="142">
        <f t="shared" si="51"/>
        <v>0</v>
      </c>
      <c r="BV48" s="142">
        <f t="shared" si="51"/>
        <v>0</v>
      </c>
      <c r="BW48" s="142">
        <f t="shared" si="51"/>
        <v>0</v>
      </c>
      <c r="BX48" s="142">
        <f t="shared" si="51"/>
        <v>0</v>
      </c>
      <c r="BY48" s="142">
        <f t="shared" si="51"/>
        <v>0</v>
      </c>
      <c r="BZ48" s="142">
        <f t="shared" si="51"/>
        <v>0</v>
      </c>
      <c r="CA48" s="142">
        <f t="shared" si="51"/>
        <v>0</v>
      </c>
      <c r="CB48" s="142">
        <f t="shared" si="51"/>
        <v>0</v>
      </c>
      <c r="CC48" s="142">
        <f t="shared" si="51"/>
        <v>2870</v>
      </c>
      <c r="CD48" s="142">
        <f t="shared" si="51"/>
        <v>0</v>
      </c>
      <c r="CE48" s="142">
        <f t="shared" si="51"/>
        <v>100</v>
      </c>
      <c r="CF48" s="142">
        <f t="shared" si="51"/>
        <v>3250</v>
      </c>
      <c r="CG48" s="142">
        <f t="shared" si="51"/>
        <v>0</v>
      </c>
      <c r="CH48" s="142">
        <f t="shared" si="51"/>
        <v>62000</v>
      </c>
      <c r="CI48" s="142">
        <f t="shared" si="51"/>
        <v>0</v>
      </c>
      <c r="CJ48" s="142">
        <f t="shared" si="51"/>
        <v>144403</v>
      </c>
      <c r="CK48" s="142">
        <f t="shared" si="51"/>
        <v>0</v>
      </c>
      <c r="CL48" s="142">
        <f t="shared" si="51"/>
        <v>0</v>
      </c>
      <c r="CM48" s="142">
        <f t="shared" si="51"/>
        <v>0</v>
      </c>
      <c r="CN48" s="142">
        <f t="shared" si="51"/>
        <v>0</v>
      </c>
      <c r="CO48" s="142">
        <f t="shared" si="51"/>
        <v>0</v>
      </c>
      <c r="CP48" s="142">
        <f t="shared" si="51"/>
        <v>576677</v>
      </c>
      <c r="CQ48" s="142">
        <f t="shared" si="51"/>
        <v>0</v>
      </c>
      <c r="CR48" s="142">
        <f t="shared" si="51"/>
        <v>0</v>
      </c>
      <c r="CS48" s="142">
        <f t="shared" si="51"/>
        <v>0</v>
      </c>
      <c r="CT48" s="142">
        <f t="shared" si="51"/>
        <v>0</v>
      </c>
      <c r="CU48" s="142">
        <f t="shared" si="51"/>
        <v>0</v>
      </c>
      <c r="CV48" s="142">
        <f t="shared" si="51"/>
        <v>0</v>
      </c>
      <c r="CW48" s="142">
        <f t="shared" si="51"/>
        <v>0</v>
      </c>
      <c r="CX48" s="142">
        <f t="shared" si="51"/>
        <v>0</v>
      </c>
      <c r="CY48" s="142">
        <f t="shared" si="51"/>
        <v>2283000</v>
      </c>
      <c r="CZ48" s="142">
        <f t="shared" si="51"/>
        <v>0</v>
      </c>
      <c r="DA48" s="142">
        <f t="shared" si="51"/>
        <v>0</v>
      </c>
      <c r="DB48" s="142">
        <f t="shared" si="51"/>
        <v>0</v>
      </c>
      <c r="DC48" s="142">
        <f t="shared" si="51"/>
        <v>0</v>
      </c>
      <c r="DD48" s="142">
        <f t="shared" si="51"/>
        <v>0</v>
      </c>
      <c r="DE48" s="142">
        <f t="shared" si="51"/>
        <v>0</v>
      </c>
      <c r="DF48" s="142">
        <f t="shared" si="51"/>
        <v>0</v>
      </c>
      <c r="DG48" s="142">
        <f t="shared" si="51"/>
        <v>0</v>
      </c>
      <c r="DH48" s="142">
        <f t="shared" si="51"/>
        <v>4600</v>
      </c>
      <c r="DI48" s="142">
        <f t="shared" si="51"/>
        <v>1171</v>
      </c>
      <c r="DJ48" s="142">
        <f t="shared" si="51"/>
        <v>0</v>
      </c>
      <c r="DK48" s="142">
        <f t="shared" si="51"/>
        <v>4600</v>
      </c>
      <c r="DL48" s="142">
        <f t="shared" si="51"/>
        <v>0</v>
      </c>
      <c r="DM48" s="142">
        <f t="shared" si="51"/>
        <v>3000</v>
      </c>
      <c r="DN48" s="142">
        <f t="shared" si="51"/>
        <v>0</v>
      </c>
      <c r="DO48" s="142">
        <f t="shared" si="51"/>
        <v>950</v>
      </c>
      <c r="DP48" s="142">
        <f t="shared" si="51"/>
        <v>0</v>
      </c>
      <c r="DQ48" s="142">
        <f t="shared" si="51"/>
        <v>2950</v>
      </c>
      <c r="DR48" s="142">
        <f t="shared" si="51"/>
        <v>2000</v>
      </c>
      <c r="DS48" s="142">
        <f t="shared" si="51"/>
        <v>832</v>
      </c>
      <c r="DT48" s="142">
        <f t="shared" si="51"/>
        <v>28825</v>
      </c>
      <c r="DU48" s="142">
        <f t="shared" si="51"/>
        <v>0</v>
      </c>
      <c r="DV48" s="142">
        <f t="shared" si="51"/>
        <v>0</v>
      </c>
      <c r="DW48" s="142">
        <f t="shared" si="51"/>
        <v>0</v>
      </c>
      <c r="DX48" s="142">
        <f t="shared" si="51"/>
        <v>2942.5</v>
      </c>
      <c r="DY48" s="142">
        <f t="shared" si="51"/>
        <v>0</v>
      </c>
      <c r="DZ48" s="142">
        <f t="shared" si="51"/>
        <v>0</v>
      </c>
      <c r="EA48" s="142">
        <f t="shared" si="51"/>
        <v>4200</v>
      </c>
      <c r="EB48" s="142">
        <f t="shared" ref="EB48:GD48" si="52">EB49+EB50</f>
        <v>12000</v>
      </c>
      <c r="EC48" s="142">
        <f t="shared" si="52"/>
        <v>0</v>
      </c>
      <c r="ED48" s="142">
        <f t="shared" si="52"/>
        <v>0</v>
      </c>
      <c r="EE48" s="142">
        <f t="shared" si="52"/>
        <v>0</v>
      </c>
      <c r="EF48" s="142">
        <f t="shared" si="52"/>
        <v>0</v>
      </c>
      <c r="EG48" s="142">
        <f t="shared" si="52"/>
        <v>0</v>
      </c>
      <c r="EH48" s="142">
        <f t="shared" si="52"/>
        <v>0</v>
      </c>
      <c r="EI48" s="142">
        <f t="shared" si="52"/>
        <v>12900</v>
      </c>
      <c r="EJ48" s="142">
        <f t="shared" si="52"/>
        <v>0</v>
      </c>
      <c r="EK48" s="142">
        <f t="shared" si="52"/>
        <v>0</v>
      </c>
      <c r="EL48" s="142">
        <f t="shared" si="52"/>
        <v>7760</v>
      </c>
      <c r="EM48" s="142">
        <f t="shared" si="52"/>
        <v>0</v>
      </c>
      <c r="EN48" s="142">
        <f t="shared" si="52"/>
        <v>67481</v>
      </c>
      <c r="EO48" s="142">
        <f t="shared" si="52"/>
        <v>1920</v>
      </c>
      <c r="EP48" s="142">
        <f t="shared" si="52"/>
        <v>1236</v>
      </c>
      <c r="EQ48" s="142">
        <f t="shared" si="52"/>
        <v>3543</v>
      </c>
      <c r="ER48" s="142">
        <f t="shared" si="52"/>
        <v>0</v>
      </c>
      <c r="ES48" s="142">
        <f t="shared" si="52"/>
        <v>750</v>
      </c>
      <c r="ET48" s="142">
        <f t="shared" si="52"/>
        <v>0</v>
      </c>
      <c r="EU48" s="142">
        <f t="shared" si="52"/>
        <v>0</v>
      </c>
      <c r="EV48" s="142">
        <f t="shared" si="52"/>
        <v>1000</v>
      </c>
      <c r="EW48" s="142">
        <f t="shared" si="52"/>
        <v>1400</v>
      </c>
      <c r="EX48" s="142">
        <f t="shared" si="52"/>
        <v>0</v>
      </c>
      <c r="EY48" s="142">
        <f t="shared" si="52"/>
        <v>19100</v>
      </c>
      <c r="EZ48" s="142">
        <f t="shared" si="52"/>
        <v>0</v>
      </c>
      <c r="FA48" s="142">
        <f t="shared" si="52"/>
        <v>2000</v>
      </c>
      <c r="FB48" s="142">
        <f t="shared" si="52"/>
        <v>20000</v>
      </c>
      <c r="FC48" s="142">
        <f t="shared" si="52"/>
        <v>10324</v>
      </c>
      <c r="FD48" s="142">
        <f t="shared" si="52"/>
        <v>0</v>
      </c>
      <c r="FE48" s="142">
        <f t="shared" si="52"/>
        <v>0</v>
      </c>
      <c r="FF48" s="142">
        <f t="shared" si="52"/>
        <v>585</v>
      </c>
      <c r="FG48" s="142">
        <f t="shared" si="52"/>
        <v>0</v>
      </c>
      <c r="FH48" s="142">
        <f t="shared" si="52"/>
        <v>0</v>
      </c>
      <c r="FI48" s="142">
        <f t="shared" si="52"/>
        <v>3020</v>
      </c>
      <c r="FJ48" s="142">
        <f t="shared" si="52"/>
        <v>0</v>
      </c>
      <c r="FK48" s="142">
        <f t="shared" si="52"/>
        <v>0</v>
      </c>
      <c r="FL48" s="142">
        <f t="shared" si="52"/>
        <v>0</v>
      </c>
      <c r="FM48" s="142">
        <f t="shared" si="52"/>
        <v>4269</v>
      </c>
      <c r="FN48" s="142">
        <f t="shared" si="52"/>
        <v>0</v>
      </c>
      <c r="FO48" s="142">
        <f t="shared" si="52"/>
        <v>0</v>
      </c>
      <c r="FP48" s="142">
        <f t="shared" si="52"/>
        <v>0</v>
      </c>
      <c r="FQ48" s="142">
        <f t="shared" si="52"/>
        <v>116510</v>
      </c>
      <c r="FR48" s="142">
        <f t="shared" si="52"/>
        <v>27158</v>
      </c>
      <c r="FS48" s="142">
        <f t="shared" si="52"/>
        <v>12306</v>
      </c>
      <c r="FT48" s="142">
        <f t="shared" si="52"/>
        <v>0</v>
      </c>
      <c r="FU48" s="142">
        <f t="shared" si="52"/>
        <v>0</v>
      </c>
      <c r="FV48" s="142">
        <f t="shared" si="52"/>
        <v>7564.45</v>
      </c>
      <c r="FW48" s="142">
        <f t="shared" si="52"/>
        <v>0</v>
      </c>
      <c r="FX48" s="142">
        <f t="shared" si="52"/>
        <v>0</v>
      </c>
      <c r="FY48" s="142">
        <f t="shared" si="52"/>
        <v>2500</v>
      </c>
      <c r="FZ48" s="142">
        <f t="shared" si="52"/>
        <v>0</v>
      </c>
      <c r="GA48" s="142">
        <f t="shared" si="52"/>
        <v>0</v>
      </c>
      <c r="GB48" s="142">
        <f t="shared" si="52"/>
        <v>0</v>
      </c>
      <c r="GC48" s="142">
        <f t="shared" si="52"/>
        <v>0</v>
      </c>
      <c r="GD48" s="142">
        <f t="shared" si="52"/>
        <v>98437</v>
      </c>
      <c r="GE48" s="142">
        <f>GE49+GE50</f>
        <v>0</v>
      </c>
      <c r="GF48" s="142">
        <f>GF49+GF50</f>
        <v>0</v>
      </c>
      <c r="GG48" s="142">
        <f>GG49+GG50</f>
        <v>0</v>
      </c>
      <c r="GH48" s="142">
        <f t="shared" ref="GH48:IQ48" si="53">GH49+GH50</f>
        <v>3000</v>
      </c>
      <c r="GI48" s="142">
        <f t="shared" si="53"/>
        <v>0</v>
      </c>
      <c r="GJ48" s="142">
        <f t="shared" si="53"/>
        <v>0</v>
      </c>
      <c r="GK48" s="142">
        <f t="shared" si="53"/>
        <v>250</v>
      </c>
      <c r="GL48" s="142">
        <f t="shared" si="53"/>
        <v>0</v>
      </c>
      <c r="GM48" s="142">
        <f t="shared" si="53"/>
        <v>0</v>
      </c>
      <c r="GN48" s="142">
        <f t="shared" si="53"/>
        <v>0</v>
      </c>
      <c r="GO48" s="142">
        <f t="shared" si="53"/>
        <v>0</v>
      </c>
      <c r="GP48" s="142">
        <f t="shared" si="53"/>
        <v>0</v>
      </c>
      <c r="GQ48" s="142">
        <f t="shared" si="53"/>
        <v>0</v>
      </c>
      <c r="GR48" s="142">
        <f t="shared" si="53"/>
        <v>0</v>
      </c>
      <c r="GS48" s="142">
        <f t="shared" si="53"/>
        <v>0</v>
      </c>
      <c r="GT48" s="142">
        <f t="shared" si="53"/>
        <v>0</v>
      </c>
      <c r="GU48" s="142">
        <f t="shared" si="53"/>
        <v>0</v>
      </c>
      <c r="GV48" s="142">
        <f t="shared" si="53"/>
        <v>575</v>
      </c>
      <c r="GW48" s="142">
        <f t="shared" si="53"/>
        <v>0</v>
      </c>
      <c r="GX48" s="142">
        <f t="shared" si="53"/>
        <v>0</v>
      </c>
      <c r="GY48" s="142">
        <f t="shared" si="53"/>
        <v>0</v>
      </c>
      <c r="GZ48" s="142">
        <f t="shared" si="53"/>
        <v>0</v>
      </c>
      <c r="HA48" s="142">
        <f t="shared" si="53"/>
        <v>0</v>
      </c>
      <c r="HB48" s="142">
        <f t="shared" si="53"/>
        <v>0</v>
      </c>
      <c r="HC48" s="142">
        <f t="shared" si="53"/>
        <v>0</v>
      </c>
      <c r="HD48" s="142">
        <f t="shared" si="53"/>
        <v>0</v>
      </c>
      <c r="HE48" s="142">
        <f t="shared" si="53"/>
        <v>0</v>
      </c>
      <c r="HF48" s="142">
        <f t="shared" si="53"/>
        <v>0</v>
      </c>
      <c r="HG48" s="142">
        <f t="shared" si="53"/>
        <v>0</v>
      </c>
      <c r="HH48" s="142">
        <f t="shared" si="53"/>
        <v>0</v>
      </c>
      <c r="HI48" s="142">
        <f t="shared" si="53"/>
        <v>0</v>
      </c>
      <c r="HJ48" s="142">
        <f t="shared" si="53"/>
        <v>0</v>
      </c>
      <c r="HK48" s="142">
        <f t="shared" si="53"/>
        <v>0</v>
      </c>
      <c r="HL48" s="142">
        <f t="shared" si="53"/>
        <v>0</v>
      </c>
      <c r="HM48" s="142">
        <f t="shared" si="53"/>
        <v>3250</v>
      </c>
      <c r="HN48" s="142">
        <f t="shared" si="53"/>
        <v>700</v>
      </c>
      <c r="HO48" s="142">
        <f t="shared" si="53"/>
        <v>0</v>
      </c>
      <c r="HP48" s="142">
        <f t="shared" si="53"/>
        <v>0</v>
      </c>
      <c r="HQ48" s="142">
        <f t="shared" si="53"/>
        <v>0</v>
      </c>
      <c r="HR48" s="142">
        <f t="shared" si="53"/>
        <v>73596</v>
      </c>
      <c r="HS48" s="142">
        <f t="shared" si="53"/>
        <v>0</v>
      </c>
      <c r="HT48" s="142">
        <f t="shared" si="53"/>
        <v>0</v>
      </c>
      <c r="HU48" s="142">
        <f t="shared" si="53"/>
        <v>0</v>
      </c>
      <c r="HV48" s="142">
        <f t="shared" si="53"/>
        <v>0</v>
      </c>
      <c r="HW48" s="142">
        <f t="shared" si="53"/>
        <v>0</v>
      </c>
      <c r="HX48" s="142">
        <f t="shared" si="53"/>
        <v>0</v>
      </c>
      <c r="HY48" s="142">
        <f t="shared" si="53"/>
        <v>0</v>
      </c>
      <c r="HZ48" s="142">
        <f t="shared" si="53"/>
        <v>0</v>
      </c>
      <c r="IA48" s="142">
        <f t="shared" si="53"/>
        <v>4250</v>
      </c>
      <c r="IB48" s="142">
        <f t="shared" si="53"/>
        <v>240162</v>
      </c>
      <c r="IC48" s="142">
        <f t="shared" si="53"/>
        <v>0</v>
      </c>
      <c r="ID48" s="142">
        <f t="shared" si="53"/>
        <v>0</v>
      </c>
      <c r="IE48" s="142">
        <f t="shared" si="53"/>
        <v>0</v>
      </c>
      <c r="IF48" s="142">
        <f t="shared" si="53"/>
        <v>0</v>
      </c>
      <c r="IG48" s="142">
        <f t="shared" si="53"/>
        <v>0</v>
      </c>
      <c r="IH48" s="142">
        <f t="shared" si="53"/>
        <v>0</v>
      </c>
      <c r="II48" s="142">
        <f t="shared" si="53"/>
        <v>0</v>
      </c>
      <c r="IJ48" s="142">
        <f t="shared" si="53"/>
        <v>0</v>
      </c>
      <c r="IK48" s="142">
        <f t="shared" si="53"/>
        <v>600</v>
      </c>
      <c r="IL48" s="142">
        <f t="shared" si="53"/>
        <v>0</v>
      </c>
      <c r="IM48" s="142">
        <f t="shared" si="53"/>
        <v>0</v>
      </c>
      <c r="IN48" s="142">
        <f t="shared" si="53"/>
        <v>0</v>
      </c>
      <c r="IO48" s="142">
        <f t="shared" si="53"/>
        <v>0</v>
      </c>
      <c r="IP48" s="142">
        <f t="shared" si="53"/>
        <v>33530.199999999997</v>
      </c>
      <c r="IQ48" s="142">
        <f t="shared" si="53"/>
        <v>0</v>
      </c>
      <c r="IR48" s="142">
        <f t="shared" ref="IR48:KM48" si="54">IR49+IR50</f>
        <v>0</v>
      </c>
      <c r="IS48" s="142">
        <f t="shared" si="54"/>
        <v>0</v>
      </c>
      <c r="IT48" s="142">
        <f t="shared" si="54"/>
        <v>0</v>
      </c>
      <c r="IU48" s="142">
        <f t="shared" si="54"/>
        <v>0</v>
      </c>
      <c r="IV48" s="142">
        <f t="shared" si="54"/>
        <v>0</v>
      </c>
      <c r="IW48" s="142">
        <f t="shared" si="54"/>
        <v>0</v>
      </c>
      <c r="IX48" s="142">
        <f t="shared" si="54"/>
        <v>0</v>
      </c>
      <c r="IY48" s="142">
        <f t="shared" si="54"/>
        <v>0</v>
      </c>
      <c r="IZ48" s="142">
        <f t="shared" si="54"/>
        <v>4034.15</v>
      </c>
      <c r="JA48" s="142">
        <f t="shared" si="54"/>
        <v>0</v>
      </c>
      <c r="JB48" s="142">
        <f t="shared" si="54"/>
        <v>0</v>
      </c>
      <c r="JC48" s="142">
        <f t="shared" si="54"/>
        <v>0</v>
      </c>
      <c r="JD48" s="142">
        <f t="shared" si="54"/>
        <v>0</v>
      </c>
      <c r="JE48" s="142">
        <f t="shared" si="54"/>
        <v>0</v>
      </c>
      <c r="JF48" s="142">
        <f t="shared" si="54"/>
        <v>0</v>
      </c>
      <c r="JG48" s="142">
        <f t="shared" si="54"/>
        <v>200</v>
      </c>
      <c r="JH48" s="142">
        <f t="shared" si="54"/>
        <v>0</v>
      </c>
      <c r="JI48" s="142">
        <f t="shared" si="54"/>
        <v>0</v>
      </c>
      <c r="JJ48" s="142">
        <f t="shared" si="54"/>
        <v>0</v>
      </c>
      <c r="JK48" s="142">
        <f t="shared" si="54"/>
        <v>1000</v>
      </c>
      <c r="JL48" s="142">
        <f t="shared" si="54"/>
        <v>3320</v>
      </c>
      <c r="JM48" s="142">
        <f t="shared" si="54"/>
        <v>0</v>
      </c>
      <c r="JN48" s="142">
        <f t="shared" si="54"/>
        <v>0</v>
      </c>
      <c r="JO48" s="142">
        <f t="shared" si="54"/>
        <v>0</v>
      </c>
      <c r="JP48" s="142">
        <f t="shared" si="54"/>
        <v>0</v>
      </c>
      <c r="JQ48" s="142">
        <f t="shared" si="54"/>
        <v>0</v>
      </c>
      <c r="JR48" s="142">
        <f t="shared" si="54"/>
        <v>0</v>
      </c>
      <c r="JS48" s="142">
        <f t="shared" si="54"/>
        <v>1000</v>
      </c>
      <c r="JT48" s="142">
        <f t="shared" si="54"/>
        <v>0</v>
      </c>
      <c r="JU48" s="142">
        <f t="shared" si="54"/>
        <v>0</v>
      </c>
      <c r="JV48" s="142">
        <f t="shared" si="54"/>
        <v>0</v>
      </c>
      <c r="JW48" s="142">
        <f t="shared" si="54"/>
        <v>18000</v>
      </c>
      <c r="JX48" s="142">
        <f t="shared" si="54"/>
        <v>0</v>
      </c>
      <c r="JY48" s="142">
        <f t="shared" si="54"/>
        <v>0</v>
      </c>
      <c r="JZ48" s="142">
        <f t="shared" si="54"/>
        <v>0</v>
      </c>
      <c r="KA48" s="142">
        <f t="shared" si="54"/>
        <v>0</v>
      </c>
      <c r="KB48" s="142">
        <f t="shared" si="54"/>
        <v>0</v>
      </c>
      <c r="KC48" s="142">
        <f t="shared" si="54"/>
        <v>0</v>
      </c>
      <c r="KD48" s="142">
        <f t="shared" si="54"/>
        <v>0</v>
      </c>
      <c r="KE48" s="142">
        <f t="shared" si="54"/>
        <v>0</v>
      </c>
      <c r="KF48" s="142">
        <f t="shared" si="54"/>
        <v>0</v>
      </c>
      <c r="KG48" s="142">
        <f t="shared" si="54"/>
        <v>4100</v>
      </c>
      <c r="KH48" s="142">
        <f t="shared" si="54"/>
        <v>0</v>
      </c>
      <c r="KI48" s="142">
        <f t="shared" si="54"/>
        <v>5000</v>
      </c>
      <c r="KJ48" s="142">
        <f t="shared" si="54"/>
        <v>0</v>
      </c>
      <c r="KK48" s="142">
        <f t="shared" si="54"/>
        <v>0</v>
      </c>
      <c r="KL48" s="142">
        <f t="shared" si="54"/>
        <v>0</v>
      </c>
      <c r="KM48" s="142">
        <f t="shared" si="54"/>
        <v>0</v>
      </c>
      <c r="KN48" s="142">
        <f t="shared" ref="KN48:LB48" si="55">KN49+KN50</f>
        <v>0</v>
      </c>
      <c r="KO48" s="142">
        <f t="shared" si="55"/>
        <v>0</v>
      </c>
      <c r="KP48" s="142">
        <f t="shared" si="55"/>
        <v>0</v>
      </c>
      <c r="KQ48" s="142">
        <f t="shared" si="55"/>
        <v>0</v>
      </c>
      <c r="KR48" s="142">
        <f t="shared" si="55"/>
        <v>0</v>
      </c>
      <c r="KS48" s="142">
        <f t="shared" si="55"/>
        <v>0</v>
      </c>
      <c r="KT48" s="142">
        <f t="shared" si="55"/>
        <v>0</v>
      </c>
      <c r="KU48" s="142">
        <f t="shared" si="55"/>
        <v>0</v>
      </c>
      <c r="KV48" s="142">
        <f t="shared" si="55"/>
        <v>0</v>
      </c>
      <c r="KW48" s="142">
        <f t="shared" si="55"/>
        <v>0</v>
      </c>
      <c r="KX48" s="142">
        <f t="shared" si="55"/>
        <v>0</v>
      </c>
      <c r="KY48" s="142">
        <f t="shared" si="55"/>
        <v>0</v>
      </c>
      <c r="KZ48" s="142">
        <f t="shared" si="55"/>
        <v>0</v>
      </c>
      <c r="LA48" s="142">
        <f t="shared" si="55"/>
        <v>0</v>
      </c>
      <c r="LB48" s="142">
        <f t="shared" si="55"/>
        <v>0</v>
      </c>
      <c r="LC48" s="142">
        <f t="shared" ref="LC48:MW48" si="56">LC49+LC50</f>
        <v>1100</v>
      </c>
      <c r="LD48" s="142">
        <f t="shared" si="56"/>
        <v>0</v>
      </c>
      <c r="LE48" s="142">
        <f t="shared" si="56"/>
        <v>0</v>
      </c>
      <c r="LF48" s="142">
        <f t="shared" si="56"/>
        <v>15000</v>
      </c>
      <c r="LG48" s="142">
        <f t="shared" si="56"/>
        <v>0</v>
      </c>
      <c r="LH48" s="142">
        <f t="shared" si="56"/>
        <v>0</v>
      </c>
      <c r="LI48" s="142">
        <f t="shared" si="56"/>
        <v>0</v>
      </c>
      <c r="LJ48" s="142">
        <f t="shared" si="56"/>
        <v>0</v>
      </c>
      <c r="LK48" s="142">
        <f t="shared" si="56"/>
        <v>0</v>
      </c>
      <c r="LL48" s="142">
        <f t="shared" si="56"/>
        <v>0</v>
      </c>
      <c r="LM48" s="142">
        <f t="shared" si="56"/>
        <v>0</v>
      </c>
      <c r="LN48" s="142">
        <f t="shared" si="56"/>
        <v>0</v>
      </c>
      <c r="LO48" s="142">
        <f t="shared" si="56"/>
        <v>0</v>
      </c>
      <c r="LP48" s="142">
        <f t="shared" si="56"/>
        <v>0</v>
      </c>
      <c r="LQ48" s="142">
        <f t="shared" si="56"/>
        <v>0</v>
      </c>
      <c r="LR48" s="142">
        <f t="shared" si="56"/>
        <v>0</v>
      </c>
      <c r="LS48" s="142">
        <f t="shared" si="56"/>
        <v>0</v>
      </c>
      <c r="LT48" s="142">
        <f t="shared" si="56"/>
        <v>0</v>
      </c>
      <c r="LU48" s="142">
        <f t="shared" si="56"/>
        <v>0</v>
      </c>
      <c r="LV48" s="142">
        <f t="shared" si="56"/>
        <v>0</v>
      </c>
      <c r="LW48" s="142">
        <f t="shared" si="56"/>
        <v>0</v>
      </c>
      <c r="LX48" s="142">
        <f t="shared" si="56"/>
        <v>0</v>
      </c>
      <c r="LY48" s="142">
        <f t="shared" si="56"/>
        <v>0</v>
      </c>
      <c r="LZ48" s="142">
        <f t="shared" si="56"/>
        <v>0</v>
      </c>
      <c r="MA48" s="142">
        <f t="shared" si="56"/>
        <v>0</v>
      </c>
      <c r="MB48" s="142">
        <f t="shared" si="56"/>
        <v>0</v>
      </c>
      <c r="MC48" s="142">
        <f t="shared" si="56"/>
        <v>0</v>
      </c>
      <c r="MD48" s="142">
        <f t="shared" si="56"/>
        <v>0</v>
      </c>
      <c r="ME48" s="142">
        <f t="shared" si="56"/>
        <v>0</v>
      </c>
      <c r="MF48" s="142">
        <f t="shared" si="56"/>
        <v>0</v>
      </c>
      <c r="MG48" s="142">
        <f t="shared" si="56"/>
        <v>0</v>
      </c>
      <c r="MH48" s="142">
        <f t="shared" si="56"/>
        <v>0</v>
      </c>
      <c r="MI48" s="142">
        <f t="shared" si="56"/>
        <v>0</v>
      </c>
      <c r="MJ48" s="142">
        <f t="shared" si="56"/>
        <v>0</v>
      </c>
      <c r="MK48" s="142">
        <f t="shared" si="56"/>
        <v>0</v>
      </c>
      <c r="ML48" s="142">
        <f t="shared" si="56"/>
        <v>503670</v>
      </c>
      <c r="MM48" s="142">
        <f t="shared" si="56"/>
        <v>0</v>
      </c>
      <c r="MN48" s="142">
        <f t="shared" si="56"/>
        <v>14500</v>
      </c>
      <c r="MO48" s="142">
        <f t="shared" si="56"/>
        <v>0</v>
      </c>
      <c r="MP48" s="142">
        <f t="shared" si="56"/>
        <v>0</v>
      </c>
      <c r="MQ48" s="142">
        <f t="shared" si="56"/>
        <v>0</v>
      </c>
      <c r="MR48" s="142">
        <f t="shared" si="56"/>
        <v>0</v>
      </c>
      <c r="MS48" s="142">
        <f t="shared" si="56"/>
        <v>0</v>
      </c>
      <c r="MT48" s="142">
        <f t="shared" si="56"/>
        <v>0</v>
      </c>
      <c r="MU48" s="142">
        <f t="shared" si="56"/>
        <v>200</v>
      </c>
      <c r="MV48" s="142">
        <f t="shared" si="56"/>
        <v>0</v>
      </c>
      <c r="MW48" s="142">
        <f t="shared" si="56"/>
        <v>0</v>
      </c>
      <c r="MX48" s="114"/>
    </row>
    <row r="49" spans="1:367" ht="12" customHeight="1" thickBot="1" x14ac:dyDescent="0.25">
      <c r="A49" s="166" t="s">
        <v>552</v>
      </c>
      <c r="B49" s="166"/>
      <c r="C49" s="161">
        <f>SUM(D50:MW50)</f>
        <v>7557726</v>
      </c>
      <c r="D49" s="138"/>
      <c r="E49" s="138"/>
      <c r="F49" s="138">
        <v>3000</v>
      </c>
      <c r="G49" s="138">
        <v>857.9</v>
      </c>
      <c r="H49" s="138"/>
      <c r="I49" s="138"/>
      <c r="J49" s="138">
        <v>6000</v>
      </c>
      <c r="K49" s="138"/>
      <c r="L49" s="138">
        <v>1600</v>
      </c>
      <c r="M49" s="138"/>
      <c r="N49" s="138"/>
      <c r="O49" s="138"/>
      <c r="P49" s="138"/>
      <c r="Q49" s="138"/>
      <c r="R49" s="138"/>
      <c r="S49" s="138"/>
      <c r="T49" s="138"/>
      <c r="U49" s="138">
        <v>100</v>
      </c>
      <c r="V49" s="138">
        <v>1000</v>
      </c>
      <c r="W49" s="138">
        <v>2500</v>
      </c>
      <c r="X49" s="138"/>
      <c r="Y49" s="138"/>
      <c r="Z49" s="138">
        <v>350</v>
      </c>
      <c r="AA49" s="138"/>
      <c r="AB49" s="138"/>
      <c r="AC49" s="138"/>
      <c r="AD49" s="138"/>
      <c r="AE49" s="138">
        <f>11500+7735</f>
        <v>19235</v>
      </c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>
        <v>1000</v>
      </c>
      <c r="AQ49" s="138"/>
      <c r="AR49" s="138">
        <v>9500</v>
      </c>
      <c r="AS49" s="138">
        <v>5558</v>
      </c>
      <c r="AT49" s="138">
        <v>1400</v>
      </c>
      <c r="AU49" s="138"/>
      <c r="AV49" s="138"/>
      <c r="AW49" s="138">
        <v>9100</v>
      </c>
      <c r="AX49" s="138"/>
      <c r="AY49" s="138"/>
      <c r="AZ49" s="138"/>
      <c r="BA49" s="138"/>
      <c r="BB49" s="138"/>
      <c r="BC49" s="138">
        <f>520+957</f>
        <v>1477</v>
      </c>
      <c r="BD49" s="138"/>
      <c r="BE49" s="138"/>
      <c r="BF49" s="138"/>
      <c r="BG49" s="138">
        <v>1000</v>
      </c>
      <c r="BH49" s="138"/>
      <c r="BI49" s="138"/>
      <c r="BJ49" s="138"/>
      <c r="BK49" s="138"/>
      <c r="BL49" s="138"/>
      <c r="BM49" s="138">
        <v>1150</v>
      </c>
      <c r="BN49" s="138"/>
      <c r="BO49" s="138"/>
      <c r="BP49" s="138"/>
      <c r="BQ49" s="138"/>
      <c r="BR49" s="138"/>
      <c r="BS49" s="138">
        <v>200</v>
      </c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>
        <v>100</v>
      </c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>
        <v>2000</v>
      </c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>
        <v>100</v>
      </c>
      <c r="DI49" s="138">
        <v>1171</v>
      </c>
      <c r="DJ49" s="138"/>
      <c r="DK49" s="138"/>
      <c r="DL49" s="138"/>
      <c r="DM49" s="138"/>
      <c r="DN49" s="138"/>
      <c r="DO49" s="138">
        <v>950</v>
      </c>
      <c r="DP49" s="138"/>
      <c r="DQ49" s="138">
        <v>2950</v>
      </c>
      <c r="DR49" s="138"/>
      <c r="DS49" s="138"/>
      <c r="DT49" s="138">
        <v>2950</v>
      </c>
      <c r="DU49" s="138"/>
      <c r="DV49" s="138"/>
      <c r="DW49" s="138"/>
      <c r="DX49" s="138">
        <v>442.5</v>
      </c>
      <c r="DY49" s="138"/>
      <c r="DZ49" s="138"/>
      <c r="EA49" s="138">
        <v>1000</v>
      </c>
      <c r="EB49" s="138"/>
      <c r="EC49" s="138"/>
      <c r="ED49" s="138"/>
      <c r="EE49" s="138"/>
      <c r="EF49" s="138"/>
      <c r="EG49" s="138"/>
      <c r="EH49" s="138"/>
      <c r="EI49" s="138">
        <v>2400</v>
      </c>
      <c r="EJ49" s="138"/>
      <c r="EK49" s="138"/>
      <c r="EL49" s="138"/>
      <c r="EM49" s="138"/>
      <c r="EN49" s="138"/>
      <c r="EO49" s="138">
        <v>170</v>
      </c>
      <c r="EP49" s="138">
        <f>705+531</f>
        <v>1236</v>
      </c>
      <c r="EQ49" s="138"/>
      <c r="ER49" s="138"/>
      <c r="ES49" s="138">
        <v>750</v>
      </c>
      <c r="ET49" s="138"/>
      <c r="EU49" s="138"/>
      <c r="EV49" s="138">
        <v>1000</v>
      </c>
      <c r="EW49" s="138"/>
      <c r="EX49" s="138"/>
      <c r="EY49" s="138"/>
      <c r="EZ49" s="138"/>
      <c r="FA49" s="138">
        <v>2000</v>
      </c>
      <c r="FB49" s="138"/>
      <c r="FC49" s="138"/>
      <c r="FD49" s="138"/>
      <c r="FE49" s="138"/>
      <c r="FF49" s="138">
        <v>95</v>
      </c>
      <c r="FG49" s="138"/>
      <c r="FH49" s="138"/>
      <c r="FI49" s="138">
        <v>850</v>
      </c>
      <c r="FJ49" s="138"/>
      <c r="FK49" s="138"/>
      <c r="FL49" s="138"/>
      <c r="FM49" s="138">
        <v>400</v>
      </c>
      <c r="FN49" s="138"/>
      <c r="FO49" s="138"/>
      <c r="FP49" s="138"/>
      <c r="FQ49" s="138"/>
      <c r="FR49" s="138"/>
      <c r="FS49" s="138"/>
      <c r="FT49" s="138"/>
      <c r="FU49" s="138"/>
      <c r="FV49" s="138">
        <v>844.45</v>
      </c>
      <c r="FW49" s="138"/>
      <c r="FX49" s="138"/>
      <c r="FY49" s="138">
        <v>2500</v>
      </c>
      <c r="FZ49" s="138"/>
      <c r="GA49" s="138"/>
      <c r="GB49" s="138"/>
      <c r="GC49" s="138"/>
      <c r="GD49" s="138"/>
      <c r="GE49" s="138"/>
      <c r="GF49" s="138"/>
      <c r="GG49" s="138"/>
      <c r="GH49" s="138">
        <v>3000</v>
      </c>
      <c r="GI49" s="138"/>
      <c r="GJ49" s="138"/>
      <c r="GK49" s="138">
        <v>250</v>
      </c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>
        <v>575</v>
      </c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>
        <v>3250</v>
      </c>
      <c r="HN49" s="138">
        <v>700</v>
      </c>
      <c r="HO49" s="138"/>
      <c r="HP49" s="138"/>
      <c r="HQ49" s="138"/>
      <c r="HR49" s="138">
        <f>715+1025+1100+1400</f>
        <v>4240</v>
      </c>
      <c r="HS49" s="138"/>
      <c r="HT49" s="138"/>
      <c r="HU49" s="138"/>
      <c r="HV49" s="138"/>
      <c r="HW49" s="138"/>
      <c r="HX49" s="138"/>
      <c r="HY49" s="138"/>
      <c r="HZ49" s="138"/>
      <c r="IA49" s="138">
        <v>4250</v>
      </c>
      <c r="IB49" s="138"/>
      <c r="IC49" s="138"/>
      <c r="ID49" s="138"/>
      <c r="IE49" s="138"/>
      <c r="IF49" s="138"/>
      <c r="IG49" s="138"/>
      <c r="IH49" s="138"/>
      <c r="II49" s="138"/>
      <c r="IJ49" s="138"/>
      <c r="IK49" s="138">
        <v>600</v>
      </c>
      <c r="IL49" s="138"/>
      <c r="IM49" s="138"/>
      <c r="IN49" s="138"/>
      <c r="IO49" s="138"/>
      <c r="IP49" s="138">
        <f>1580.2+50</f>
        <v>1630.2</v>
      </c>
      <c r="IQ49" s="138"/>
      <c r="IR49" s="138"/>
      <c r="IS49" s="138"/>
      <c r="IT49" s="138"/>
      <c r="IU49" s="138"/>
      <c r="IV49" s="138"/>
      <c r="IW49" s="138"/>
      <c r="IX49" s="138"/>
      <c r="IY49" s="138"/>
      <c r="IZ49" s="138">
        <v>4034.15</v>
      </c>
      <c r="JA49" s="138"/>
      <c r="JB49" s="138"/>
      <c r="JC49" s="138"/>
      <c r="JD49" s="138"/>
      <c r="JE49" s="138"/>
      <c r="JF49" s="138"/>
      <c r="JG49" s="138">
        <v>200</v>
      </c>
      <c r="JH49" s="138"/>
      <c r="JI49" s="138"/>
      <c r="JJ49" s="138"/>
      <c r="JK49" s="138">
        <v>1000</v>
      </c>
      <c r="JL49" s="138">
        <v>500</v>
      </c>
      <c r="JM49" s="138"/>
      <c r="JN49" s="138"/>
      <c r="JO49" s="138"/>
      <c r="JP49" s="138"/>
      <c r="JQ49" s="138"/>
      <c r="JR49" s="138"/>
      <c r="JS49" s="138">
        <v>1000</v>
      </c>
      <c r="JT49" s="138"/>
      <c r="JU49" s="138"/>
      <c r="JV49" s="138"/>
      <c r="JW49" s="138">
        <v>18000</v>
      </c>
      <c r="JX49" s="138"/>
      <c r="JY49" s="138"/>
      <c r="JZ49" s="138"/>
      <c r="KA49" s="138"/>
      <c r="KB49" s="138"/>
      <c r="KC49" s="138"/>
      <c r="KD49" s="138"/>
      <c r="KE49" s="138"/>
      <c r="KF49" s="138"/>
      <c r="KG49" s="138">
        <v>4100</v>
      </c>
      <c r="KH49" s="138"/>
      <c r="KI49" s="138"/>
      <c r="KJ49" s="138"/>
      <c r="KK49" s="138"/>
      <c r="KL49" s="138"/>
      <c r="KM49" s="138"/>
      <c r="KN49" s="138"/>
      <c r="KO49" s="138"/>
      <c r="KP49" s="138"/>
      <c r="KQ49" s="138"/>
      <c r="KR49" s="138"/>
      <c r="KS49" s="138"/>
      <c r="KT49" s="138"/>
      <c r="KU49" s="138"/>
      <c r="KV49" s="138"/>
      <c r="KW49" s="138"/>
      <c r="KX49" s="138"/>
      <c r="KY49" s="138"/>
      <c r="KZ49" s="138"/>
      <c r="LA49" s="138"/>
      <c r="LB49" s="138"/>
      <c r="LC49" s="138">
        <v>1100</v>
      </c>
      <c r="LD49" s="138"/>
      <c r="LE49" s="138"/>
      <c r="LF49" s="138">
        <v>15000</v>
      </c>
      <c r="LG49" s="138"/>
      <c r="LH49" s="138"/>
      <c r="LI49" s="138"/>
      <c r="LJ49" s="138"/>
      <c r="LK49" s="138"/>
      <c r="LL49" s="138"/>
      <c r="LM49" s="138"/>
      <c r="LN49" s="138"/>
      <c r="LO49" s="138"/>
      <c r="LP49" s="138"/>
      <c r="LQ49" s="138"/>
      <c r="LR49" s="138"/>
      <c r="LS49" s="138"/>
      <c r="LT49" s="138"/>
      <c r="LU49" s="138"/>
      <c r="LV49" s="138"/>
      <c r="LW49" s="138"/>
      <c r="LX49" s="138"/>
      <c r="LY49" s="138"/>
      <c r="LZ49" s="138"/>
      <c r="MA49" s="138"/>
      <c r="MB49" s="138"/>
      <c r="MC49" s="138"/>
      <c r="MD49" s="138"/>
      <c r="ME49" s="138"/>
      <c r="MF49" s="138"/>
      <c r="MG49" s="138"/>
      <c r="MH49" s="138"/>
      <c r="MI49" s="138"/>
      <c r="MJ49" s="138"/>
      <c r="MK49" s="138"/>
      <c r="ML49" s="138">
        <f>20000+75770</f>
        <v>95770</v>
      </c>
      <c r="MM49" s="138"/>
      <c r="MN49" s="138">
        <v>100</v>
      </c>
      <c r="MO49" s="138"/>
      <c r="MP49" s="138"/>
      <c r="MQ49" s="138"/>
      <c r="MR49" s="138"/>
      <c r="MS49" s="138"/>
      <c r="MT49" s="138"/>
      <c r="MU49" s="138">
        <v>200</v>
      </c>
      <c r="MV49" s="138"/>
      <c r="MW49" s="138"/>
      <c r="MX49" s="114"/>
    </row>
    <row r="50" spans="1:367" ht="10.5" customHeight="1" thickBot="1" x14ac:dyDescent="0.25">
      <c r="A50" s="167" t="s">
        <v>553</v>
      </c>
      <c r="B50" s="166"/>
      <c r="C50" s="161">
        <f>SUM(D51:MW51)</f>
        <v>0</v>
      </c>
      <c r="D50" s="138"/>
      <c r="E50" s="138"/>
      <c r="F50" s="138">
        <v>50000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>
        <v>1180</v>
      </c>
      <c r="V50" s="138"/>
      <c r="W50" s="138">
        <v>1500</v>
      </c>
      <c r="X50" s="138"/>
      <c r="Y50" s="138"/>
      <c r="Z50" s="138">
        <v>2600</v>
      </c>
      <c r="AA50" s="138">
        <v>11304</v>
      </c>
      <c r="AB50" s="138">
        <v>16400</v>
      </c>
      <c r="AC50" s="138"/>
      <c r="AD50" s="138"/>
      <c r="AE50" s="138"/>
      <c r="AF50" s="138"/>
      <c r="AG50" s="138">
        <v>153500</v>
      </c>
      <c r="AH50" s="138">
        <v>4100</v>
      </c>
      <c r="AI50" s="138"/>
      <c r="AJ50" s="138"/>
      <c r="AK50" s="138"/>
      <c r="AL50" s="138"/>
      <c r="AM50" s="138"/>
      <c r="AN50" s="138"/>
      <c r="AO50" s="138"/>
      <c r="AP50" s="138"/>
      <c r="AQ50" s="138"/>
      <c r="AR50" s="138">
        <f>14034+5500+29740+2300</f>
        <v>51574</v>
      </c>
      <c r="AS50" s="138">
        <v>102000</v>
      </c>
      <c r="AT50" s="138"/>
      <c r="AU50" s="138"/>
      <c r="AV50" s="138"/>
      <c r="AW50" s="138">
        <v>53880</v>
      </c>
      <c r="AX50" s="138">
        <v>2698500</v>
      </c>
      <c r="AY50" s="138">
        <v>3000</v>
      </c>
      <c r="AZ50" s="138"/>
      <c r="BA50" s="138"/>
      <c r="BB50" s="138">
        <v>4800</v>
      </c>
      <c r="BC50" s="138">
        <v>5370</v>
      </c>
      <c r="BD50" s="138"/>
      <c r="BE50" s="138"/>
      <c r="BF50" s="138"/>
      <c r="BG50" s="138">
        <v>18500</v>
      </c>
      <c r="BH50" s="138"/>
      <c r="BI50" s="138"/>
      <c r="BJ50" s="138">
        <f>29325+3300+2630</f>
        <v>35255</v>
      </c>
      <c r="BK50" s="138"/>
      <c r="BL50" s="138">
        <v>30000</v>
      </c>
      <c r="BM50" s="138"/>
      <c r="BN50" s="138"/>
      <c r="BO50" s="138"/>
      <c r="BP50" s="138"/>
      <c r="BQ50" s="138"/>
      <c r="BR50" s="138">
        <v>4500</v>
      </c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>
        <v>2870</v>
      </c>
      <c r="CD50" s="138"/>
      <c r="CE50" s="138"/>
      <c r="CF50" s="138">
        <v>3250</v>
      </c>
      <c r="CG50" s="138"/>
      <c r="CH50" s="138">
        <v>62000</v>
      </c>
      <c r="CI50" s="138"/>
      <c r="CJ50" s="138">
        <f>2000+131600+8603+2200</f>
        <v>144403</v>
      </c>
      <c r="CK50" s="138"/>
      <c r="CL50" s="138"/>
      <c r="CM50" s="138"/>
      <c r="CN50" s="138"/>
      <c r="CO50" s="138"/>
      <c r="CP50" s="138">
        <v>574677</v>
      </c>
      <c r="CQ50" s="138"/>
      <c r="CR50" s="138"/>
      <c r="CS50" s="138"/>
      <c r="CT50" s="138"/>
      <c r="CU50" s="138"/>
      <c r="CV50" s="138"/>
      <c r="CW50" s="138"/>
      <c r="CX50" s="138"/>
      <c r="CY50" s="138">
        <v>2283000</v>
      </c>
      <c r="CZ50" s="138"/>
      <c r="DA50" s="138"/>
      <c r="DB50" s="138"/>
      <c r="DC50" s="138"/>
      <c r="DD50" s="138"/>
      <c r="DE50" s="138"/>
      <c r="DF50" s="138"/>
      <c r="DG50" s="138"/>
      <c r="DH50" s="138">
        <v>4500</v>
      </c>
      <c r="DI50" s="138"/>
      <c r="DJ50" s="138"/>
      <c r="DK50" s="138">
        <v>4600</v>
      </c>
      <c r="DL50" s="138"/>
      <c r="DM50" s="138">
        <v>3000</v>
      </c>
      <c r="DN50" s="138"/>
      <c r="DO50" s="138"/>
      <c r="DP50" s="138"/>
      <c r="DQ50" s="138"/>
      <c r="DR50" s="138">
        <v>2000</v>
      </c>
      <c r="DS50" s="138">
        <v>832</v>
      </c>
      <c r="DT50" s="138">
        <v>25875</v>
      </c>
      <c r="DU50" s="138"/>
      <c r="DV50" s="138"/>
      <c r="DW50" s="138"/>
      <c r="DX50" s="138">
        <v>2500</v>
      </c>
      <c r="DY50" s="138"/>
      <c r="DZ50" s="138"/>
      <c r="EA50" s="138">
        <v>3200</v>
      </c>
      <c r="EB50" s="138">
        <v>12000</v>
      </c>
      <c r="EC50" s="138"/>
      <c r="ED50" s="138"/>
      <c r="EE50" s="138"/>
      <c r="EF50" s="138"/>
      <c r="EG50" s="138"/>
      <c r="EH50" s="138"/>
      <c r="EI50" s="138">
        <v>10500</v>
      </c>
      <c r="EJ50" s="138"/>
      <c r="EK50" s="138"/>
      <c r="EL50" s="138">
        <v>7760</v>
      </c>
      <c r="EM50" s="138"/>
      <c r="EN50" s="138">
        <v>67481</v>
      </c>
      <c r="EO50" s="138">
        <v>1750</v>
      </c>
      <c r="EP50" s="138"/>
      <c r="EQ50" s="138">
        <v>3543</v>
      </c>
      <c r="ER50" s="138"/>
      <c r="ES50" s="138"/>
      <c r="ET50" s="138"/>
      <c r="EU50" s="138"/>
      <c r="EV50" s="138"/>
      <c r="EW50" s="138">
        <v>1400</v>
      </c>
      <c r="EX50" s="138"/>
      <c r="EY50" s="138">
        <v>19100</v>
      </c>
      <c r="EZ50" s="138"/>
      <c r="FA50" s="138"/>
      <c r="FB50" s="138">
        <v>20000</v>
      </c>
      <c r="FC50" s="138">
        <v>10324</v>
      </c>
      <c r="FD50" s="138"/>
      <c r="FE50" s="138"/>
      <c r="FF50" s="138">
        <v>490</v>
      </c>
      <c r="FG50" s="138"/>
      <c r="FH50" s="138"/>
      <c r="FI50" s="138">
        <v>2170</v>
      </c>
      <c r="FJ50" s="138"/>
      <c r="FK50" s="138"/>
      <c r="FL50" s="138"/>
      <c r="FM50" s="138">
        <f>1440+2429</f>
        <v>3869</v>
      </c>
      <c r="FN50" s="138"/>
      <c r="FO50" s="138"/>
      <c r="FP50" s="138"/>
      <c r="FQ50" s="145">
        <v>116510</v>
      </c>
      <c r="FR50" s="138">
        <v>27158</v>
      </c>
      <c r="FS50" s="138">
        <v>12306</v>
      </c>
      <c r="FT50" s="138"/>
      <c r="FU50" s="138"/>
      <c r="FV50" s="138">
        <v>6720</v>
      </c>
      <c r="FW50" s="138"/>
      <c r="FX50" s="138"/>
      <c r="FY50" s="138"/>
      <c r="FZ50" s="138"/>
      <c r="GA50" s="138"/>
      <c r="GB50" s="138"/>
      <c r="GC50" s="138"/>
      <c r="GD50" s="138">
        <v>98437</v>
      </c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>
        <f>7980+61376</f>
        <v>69356</v>
      </c>
      <c r="HS50" s="138"/>
      <c r="HT50" s="138"/>
      <c r="HU50" s="138"/>
      <c r="HV50" s="138"/>
      <c r="HW50" s="138"/>
      <c r="HX50" s="138"/>
      <c r="HY50" s="138"/>
      <c r="HZ50" s="138"/>
      <c r="IA50" s="138"/>
      <c r="IB50" s="138">
        <v>240162</v>
      </c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>
        <v>31900</v>
      </c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38"/>
      <c r="JC50" s="138"/>
      <c r="JD50" s="138"/>
      <c r="JE50" s="138"/>
      <c r="JF50" s="138"/>
      <c r="JG50" s="138"/>
      <c r="JH50" s="138"/>
      <c r="JI50" s="138"/>
      <c r="JJ50" s="138"/>
      <c r="JK50" s="138"/>
      <c r="JL50" s="138">
        <f>2320+500</f>
        <v>2820</v>
      </c>
      <c r="JM50" s="138"/>
      <c r="JN50" s="138"/>
      <c r="JO50" s="138"/>
      <c r="JP50" s="138"/>
      <c r="JQ50" s="138"/>
      <c r="JR50" s="138"/>
      <c r="JS50" s="138"/>
      <c r="JT50" s="138"/>
      <c r="JU50" s="138"/>
      <c r="JV50" s="138"/>
      <c r="JW50" s="138"/>
      <c r="JX50" s="138"/>
      <c r="JY50" s="138"/>
      <c r="JZ50" s="138"/>
      <c r="KA50" s="138"/>
      <c r="KB50" s="138"/>
      <c r="KC50" s="138"/>
      <c r="KD50" s="138"/>
      <c r="KE50" s="138"/>
      <c r="KF50" s="138"/>
      <c r="KG50" s="138"/>
      <c r="KH50" s="138"/>
      <c r="KI50" s="138">
        <v>5000</v>
      </c>
      <c r="KJ50" s="138"/>
      <c r="KK50" s="138"/>
      <c r="KL50" s="138"/>
      <c r="KM50" s="138"/>
      <c r="KN50" s="138"/>
      <c r="KO50" s="138"/>
      <c r="KP50" s="138"/>
      <c r="KQ50" s="138"/>
      <c r="KR50" s="138"/>
      <c r="KS50" s="138"/>
      <c r="KT50" s="138"/>
      <c r="KU50" s="138"/>
      <c r="KV50" s="138"/>
      <c r="KW50" s="138"/>
      <c r="KX50" s="138"/>
      <c r="KY50" s="138"/>
      <c r="KZ50" s="138"/>
      <c r="LA50" s="138"/>
      <c r="LB50" s="138"/>
      <c r="LC50" s="138"/>
      <c r="LD50" s="138"/>
      <c r="LE50" s="138"/>
      <c r="LF50" s="138"/>
      <c r="LG50" s="138"/>
      <c r="LH50" s="138"/>
      <c r="LI50" s="138"/>
      <c r="LJ50" s="138"/>
      <c r="LK50" s="138"/>
      <c r="LL50" s="138"/>
      <c r="LM50" s="138"/>
      <c r="LN50" s="138"/>
      <c r="LO50" s="138"/>
      <c r="LP50" s="138"/>
      <c r="LQ50" s="138"/>
      <c r="LR50" s="138"/>
      <c r="LS50" s="138"/>
      <c r="LT50" s="138"/>
      <c r="LU50" s="138"/>
      <c r="LV50" s="138"/>
      <c r="LW50" s="138"/>
      <c r="LX50" s="138"/>
      <c r="LY50" s="138"/>
      <c r="LZ50" s="138"/>
      <c r="MA50" s="138"/>
      <c r="MB50" s="138"/>
      <c r="MC50" s="138"/>
      <c r="MD50" s="138"/>
      <c r="ME50" s="138"/>
      <c r="MF50" s="138"/>
      <c r="MG50" s="138"/>
      <c r="MH50" s="138"/>
      <c r="MI50" s="138"/>
      <c r="MJ50" s="138"/>
      <c r="MK50" s="138"/>
      <c r="ML50" s="138">
        <v>407900</v>
      </c>
      <c r="MM50" s="138"/>
      <c r="MN50" s="138">
        <v>14400</v>
      </c>
      <c r="MO50" s="138"/>
      <c r="MP50" s="138"/>
      <c r="MQ50" s="138"/>
      <c r="MR50" s="138"/>
      <c r="MS50" s="138"/>
      <c r="MT50" s="138"/>
      <c r="MU50" s="138"/>
      <c r="MV50" s="138"/>
      <c r="MW50" s="138"/>
      <c r="MX50" s="114"/>
    </row>
    <row r="51" spans="1:367" ht="11.25" customHeight="1" thickBot="1" x14ac:dyDescent="0.25">
      <c r="A51" s="167" t="s">
        <v>554</v>
      </c>
      <c r="B51" s="168">
        <v>41646</v>
      </c>
      <c r="C51" s="169">
        <f>C53</f>
        <v>0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  <c r="IP51" s="125"/>
      <c r="IQ51" s="125"/>
      <c r="IR51" s="125"/>
      <c r="IS51" s="125"/>
      <c r="IT51" s="125"/>
      <c r="IU51" s="125"/>
      <c r="IV51" s="125"/>
      <c r="IW51" s="125"/>
      <c r="IX51" s="125"/>
      <c r="IY51" s="125"/>
      <c r="IZ51" s="125"/>
      <c r="JA51" s="125"/>
      <c r="JB51" s="125"/>
      <c r="JC51" s="125"/>
      <c r="JD51" s="125"/>
      <c r="JE51" s="125"/>
      <c r="JF51" s="125"/>
      <c r="JG51" s="125"/>
      <c r="JH51" s="125"/>
      <c r="JI51" s="125"/>
      <c r="JJ51" s="125"/>
      <c r="JK51" s="125"/>
      <c r="JL51" s="125"/>
      <c r="JM51" s="125"/>
      <c r="JN51" s="125"/>
      <c r="JO51" s="125"/>
      <c r="JP51" s="125"/>
      <c r="JQ51" s="125"/>
      <c r="JR51" s="125"/>
      <c r="JS51" s="125"/>
      <c r="JT51" s="125"/>
      <c r="JU51" s="125"/>
      <c r="JV51" s="125"/>
      <c r="JW51" s="125"/>
      <c r="JX51" s="125"/>
      <c r="JY51" s="125"/>
      <c r="JZ51" s="125"/>
      <c r="KA51" s="125"/>
      <c r="KB51" s="125"/>
      <c r="KC51" s="125"/>
      <c r="KD51" s="125"/>
      <c r="KE51" s="125"/>
      <c r="KF51" s="125"/>
      <c r="KG51" s="125"/>
      <c r="KH51" s="125"/>
      <c r="KI51" s="125"/>
      <c r="KJ51" s="125"/>
      <c r="KK51" s="125"/>
      <c r="KL51" s="125"/>
      <c r="KM51" s="125"/>
      <c r="KN51" s="125"/>
      <c r="KO51" s="125"/>
      <c r="KP51" s="125"/>
      <c r="KQ51" s="125"/>
      <c r="KR51" s="125"/>
      <c r="KS51" s="125"/>
      <c r="KT51" s="125"/>
      <c r="KU51" s="125"/>
      <c r="KV51" s="125"/>
      <c r="KW51" s="125"/>
      <c r="KX51" s="125"/>
      <c r="KY51" s="125"/>
      <c r="KZ51" s="125"/>
      <c r="LA51" s="125"/>
      <c r="LB51" s="125"/>
      <c r="LC51" s="125"/>
      <c r="LD51" s="125"/>
      <c r="LE51" s="125"/>
      <c r="LF51" s="125"/>
      <c r="LG51" s="125"/>
      <c r="LH51" s="125"/>
      <c r="LI51" s="125"/>
      <c r="LJ51" s="125"/>
      <c r="LK51" s="125"/>
      <c r="LL51" s="125"/>
      <c r="LM51" s="125"/>
      <c r="LN51" s="125"/>
      <c r="LO51" s="125"/>
      <c r="LP51" s="125"/>
      <c r="LQ51" s="125"/>
      <c r="LR51" s="125"/>
      <c r="LS51" s="125"/>
      <c r="LT51" s="125"/>
      <c r="LU51" s="125"/>
      <c r="LV51" s="125"/>
      <c r="LW51" s="125"/>
      <c r="LX51" s="125"/>
      <c r="LY51" s="125"/>
      <c r="LZ51" s="125"/>
      <c r="MA51" s="125"/>
      <c r="MB51" s="125"/>
      <c r="MC51" s="125"/>
      <c r="MD51" s="125"/>
      <c r="ME51" s="125"/>
      <c r="MF51" s="125"/>
      <c r="MG51" s="125"/>
      <c r="MH51" s="125"/>
      <c r="MI51" s="125"/>
      <c r="MJ51" s="125"/>
      <c r="MK51" s="125"/>
      <c r="ML51" s="125"/>
      <c r="MM51" s="125"/>
      <c r="MN51" s="125"/>
      <c r="MO51" s="125"/>
      <c r="MP51" s="125"/>
      <c r="MQ51" s="125"/>
      <c r="MR51" s="125"/>
      <c r="MS51" s="125"/>
      <c r="MT51" s="125"/>
      <c r="MU51" s="125"/>
      <c r="MV51" s="125"/>
      <c r="MW51" s="125"/>
      <c r="MX51" s="114"/>
    </row>
    <row r="52" spans="1:367" s="3" customFormat="1" ht="11.25" customHeight="1" thickBot="1" x14ac:dyDescent="0.25">
      <c r="A52" s="166" t="s">
        <v>555</v>
      </c>
      <c r="B52" s="166"/>
      <c r="C52" s="161">
        <f>SUM(D53:MW53)</f>
        <v>0</v>
      </c>
      <c r="D52" s="121">
        <f t="shared" ref="D52:BO52" si="57">D53</f>
        <v>0</v>
      </c>
      <c r="E52" s="121">
        <f t="shared" si="57"/>
        <v>0</v>
      </c>
      <c r="F52" s="121">
        <f t="shared" si="57"/>
        <v>0</v>
      </c>
      <c r="G52" s="121">
        <f t="shared" si="57"/>
        <v>0</v>
      </c>
      <c r="H52" s="121">
        <f t="shared" si="57"/>
        <v>0</v>
      </c>
      <c r="I52" s="121">
        <f t="shared" si="57"/>
        <v>0</v>
      </c>
      <c r="J52" s="121">
        <f t="shared" si="57"/>
        <v>0</v>
      </c>
      <c r="K52" s="121">
        <f t="shared" si="57"/>
        <v>0</v>
      </c>
      <c r="L52" s="121">
        <f t="shared" si="57"/>
        <v>0</v>
      </c>
      <c r="M52" s="121">
        <f t="shared" si="57"/>
        <v>0</v>
      </c>
      <c r="N52" s="121">
        <f t="shared" si="57"/>
        <v>0</v>
      </c>
      <c r="O52" s="121">
        <f t="shared" si="57"/>
        <v>0</v>
      </c>
      <c r="P52" s="121">
        <f t="shared" si="57"/>
        <v>0</v>
      </c>
      <c r="Q52" s="121">
        <f t="shared" si="57"/>
        <v>0</v>
      </c>
      <c r="R52" s="121">
        <f t="shared" si="57"/>
        <v>0</v>
      </c>
      <c r="S52" s="121">
        <f t="shared" si="57"/>
        <v>0</v>
      </c>
      <c r="T52" s="121">
        <f t="shared" si="57"/>
        <v>0</v>
      </c>
      <c r="U52" s="121">
        <f t="shared" si="57"/>
        <v>0</v>
      </c>
      <c r="V52" s="121">
        <f t="shared" si="57"/>
        <v>0</v>
      </c>
      <c r="W52" s="121">
        <f t="shared" si="57"/>
        <v>0</v>
      </c>
      <c r="X52" s="121">
        <f t="shared" si="57"/>
        <v>0</v>
      </c>
      <c r="Y52" s="121">
        <f t="shared" si="57"/>
        <v>0</v>
      </c>
      <c r="Z52" s="121">
        <f t="shared" si="57"/>
        <v>0</v>
      </c>
      <c r="AA52" s="121">
        <f t="shared" si="57"/>
        <v>0</v>
      </c>
      <c r="AB52" s="121">
        <f t="shared" si="57"/>
        <v>0</v>
      </c>
      <c r="AC52" s="121">
        <f t="shared" si="57"/>
        <v>0</v>
      </c>
      <c r="AD52" s="121">
        <f t="shared" si="57"/>
        <v>0</v>
      </c>
      <c r="AE52" s="121">
        <f t="shared" si="57"/>
        <v>0</v>
      </c>
      <c r="AF52" s="121">
        <f t="shared" si="57"/>
        <v>0</v>
      </c>
      <c r="AG52" s="121">
        <f t="shared" si="57"/>
        <v>0</v>
      </c>
      <c r="AH52" s="121">
        <f t="shared" si="57"/>
        <v>0</v>
      </c>
      <c r="AI52" s="121">
        <f t="shared" si="57"/>
        <v>0</v>
      </c>
      <c r="AJ52" s="121">
        <f t="shared" si="57"/>
        <v>0</v>
      </c>
      <c r="AK52" s="121">
        <f t="shared" si="57"/>
        <v>0</v>
      </c>
      <c r="AL52" s="121">
        <f t="shared" si="57"/>
        <v>0</v>
      </c>
      <c r="AM52" s="121">
        <f t="shared" si="57"/>
        <v>0</v>
      </c>
      <c r="AN52" s="121">
        <f t="shared" si="57"/>
        <v>0</v>
      </c>
      <c r="AO52" s="121">
        <f t="shared" si="57"/>
        <v>0</v>
      </c>
      <c r="AP52" s="121">
        <f t="shared" si="57"/>
        <v>0</v>
      </c>
      <c r="AQ52" s="121">
        <f t="shared" si="57"/>
        <v>0</v>
      </c>
      <c r="AR52" s="121">
        <f t="shared" si="57"/>
        <v>0</v>
      </c>
      <c r="AS52" s="121">
        <f t="shared" si="57"/>
        <v>0</v>
      </c>
      <c r="AT52" s="121">
        <f t="shared" si="57"/>
        <v>0</v>
      </c>
      <c r="AU52" s="121">
        <f t="shared" si="57"/>
        <v>0</v>
      </c>
      <c r="AV52" s="121">
        <f t="shared" si="57"/>
        <v>0</v>
      </c>
      <c r="AW52" s="121">
        <f t="shared" si="57"/>
        <v>0</v>
      </c>
      <c r="AX52" s="121">
        <f t="shared" si="57"/>
        <v>0</v>
      </c>
      <c r="AY52" s="121">
        <f t="shared" si="57"/>
        <v>0</v>
      </c>
      <c r="AZ52" s="121">
        <f t="shared" si="57"/>
        <v>0</v>
      </c>
      <c r="BA52" s="121">
        <f t="shared" si="57"/>
        <v>0</v>
      </c>
      <c r="BB52" s="121">
        <f t="shared" si="57"/>
        <v>0</v>
      </c>
      <c r="BC52" s="121">
        <f t="shared" si="57"/>
        <v>0</v>
      </c>
      <c r="BD52" s="121">
        <f t="shared" si="57"/>
        <v>0</v>
      </c>
      <c r="BE52" s="121">
        <f t="shared" si="57"/>
        <v>0</v>
      </c>
      <c r="BF52" s="121">
        <f t="shared" si="57"/>
        <v>0</v>
      </c>
      <c r="BG52" s="121">
        <f t="shared" si="57"/>
        <v>0</v>
      </c>
      <c r="BH52" s="121">
        <f t="shared" si="57"/>
        <v>0</v>
      </c>
      <c r="BI52" s="121">
        <f t="shared" si="57"/>
        <v>0</v>
      </c>
      <c r="BJ52" s="121">
        <f t="shared" si="57"/>
        <v>0</v>
      </c>
      <c r="BK52" s="121">
        <f t="shared" si="57"/>
        <v>0</v>
      </c>
      <c r="BL52" s="121">
        <f t="shared" si="57"/>
        <v>0</v>
      </c>
      <c r="BM52" s="121">
        <f t="shared" si="57"/>
        <v>0</v>
      </c>
      <c r="BN52" s="121">
        <f t="shared" si="57"/>
        <v>0</v>
      </c>
      <c r="BO52" s="121">
        <f t="shared" si="57"/>
        <v>0</v>
      </c>
      <c r="BP52" s="121">
        <f t="shared" ref="BP52:DZ52" si="58">BP53</f>
        <v>0</v>
      </c>
      <c r="BQ52" s="121">
        <f t="shared" si="58"/>
        <v>0</v>
      </c>
      <c r="BR52" s="121">
        <f t="shared" si="58"/>
        <v>0</v>
      </c>
      <c r="BS52" s="121">
        <f t="shared" si="58"/>
        <v>0</v>
      </c>
      <c r="BT52" s="121">
        <f t="shared" si="58"/>
        <v>0</v>
      </c>
      <c r="BU52" s="121">
        <f t="shared" si="58"/>
        <v>0</v>
      </c>
      <c r="BV52" s="121">
        <f t="shared" si="58"/>
        <v>0</v>
      </c>
      <c r="BW52" s="121">
        <f t="shared" si="58"/>
        <v>0</v>
      </c>
      <c r="BX52" s="121">
        <f t="shared" si="58"/>
        <v>0</v>
      </c>
      <c r="BY52" s="121">
        <f t="shared" si="58"/>
        <v>0</v>
      </c>
      <c r="BZ52" s="121">
        <f t="shared" si="58"/>
        <v>0</v>
      </c>
      <c r="CA52" s="121">
        <f t="shared" si="58"/>
        <v>0</v>
      </c>
      <c r="CB52" s="121">
        <f t="shared" si="58"/>
        <v>0</v>
      </c>
      <c r="CC52" s="121">
        <f t="shared" si="58"/>
        <v>0</v>
      </c>
      <c r="CD52" s="121">
        <f t="shared" si="58"/>
        <v>0</v>
      </c>
      <c r="CE52" s="121">
        <f t="shared" si="58"/>
        <v>0</v>
      </c>
      <c r="CF52" s="121">
        <f t="shared" si="58"/>
        <v>0</v>
      </c>
      <c r="CG52" s="121">
        <f t="shared" si="58"/>
        <v>0</v>
      </c>
      <c r="CH52" s="121">
        <f t="shared" si="58"/>
        <v>0</v>
      </c>
      <c r="CI52" s="121">
        <f t="shared" si="58"/>
        <v>0</v>
      </c>
      <c r="CJ52" s="121">
        <f t="shared" si="58"/>
        <v>0</v>
      </c>
      <c r="CK52" s="121">
        <f t="shared" si="58"/>
        <v>0</v>
      </c>
      <c r="CL52" s="121">
        <f t="shared" si="58"/>
        <v>0</v>
      </c>
      <c r="CM52" s="121">
        <f t="shared" si="58"/>
        <v>0</v>
      </c>
      <c r="CN52" s="121">
        <f t="shared" si="58"/>
        <v>0</v>
      </c>
      <c r="CO52" s="121">
        <f t="shared" si="58"/>
        <v>0</v>
      </c>
      <c r="CP52" s="121">
        <f t="shared" si="58"/>
        <v>0</v>
      </c>
      <c r="CQ52" s="121">
        <f t="shared" si="58"/>
        <v>0</v>
      </c>
      <c r="CR52" s="121">
        <f t="shared" si="58"/>
        <v>0</v>
      </c>
      <c r="CS52" s="121">
        <f t="shared" si="58"/>
        <v>0</v>
      </c>
      <c r="CT52" s="121">
        <f t="shared" si="58"/>
        <v>0</v>
      </c>
      <c r="CU52" s="121">
        <f t="shared" si="58"/>
        <v>0</v>
      </c>
      <c r="CV52" s="121">
        <f t="shared" si="58"/>
        <v>0</v>
      </c>
      <c r="CW52" s="121">
        <f t="shared" si="58"/>
        <v>0</v>
      </c>
      <c r="CX52" s="121">
        <f t="shared" si="58"/>
        <v>0</v>
      </c>
      <c r="CY52" s="121">
        <f t="shared" si="58"/>
        <v>0</v>
      </c>
      <c r="CZ52" s="121">
        <f t="shared" si="58"/>
        <v>0</v>
      </c>
      <c r="DA52" s="121">
        <f t="shared" si="58"/>
        <v>0</v>
      </c>
      <c r="DB52" s="121">
        <f t="shared" si="58"/>
        <v>0</v>
      </c>
      <c r="DC52" s="121">
        <f t="shared" si="58"/>
        <v>0</v>
      </c>
      <c r="DD52" s="121">
        <f t="shared" si="58"/>
        <v>0</v>
      </c>
      <c r="DE52" s="121">
        <f t="shared" si="58"/>
        <v>0</v>
      </c>
      <c r="DF52" s="121">
        <f t="shared" si="58"/>
        <v>0</v>
      </c>
      <c r="DG52" s="121">
        <f t="shared" si="58"/>
        <v>0</v>
      </c>
      <c r="DH52" s="121">
        <f t="shared" si="58"/>
        <v>0</v>
      </c>
      <c r="DI52" s="121">
        <f t="shared" si="58"/>
        <v>0</v>
      </c>
      <c r="DJ52" s="121">
        <f t="shared" si="58"/>
        <v>0</v>
      </c>
      <c r="DK52" s="121">
        <f t="shared" si="58"/>
        <v>0</v>
      </c>
      <c r="DL52" s="121">
        <f t="shared" si="58"/>
        <v>0</v>
      </c>
      <c r="DM52" s="121">
        <f t="shared" si="58"/>
        <v>0</v>
      </c>
      <c r="DN52" s="121">
        <f t="shared" si="58"/>
        <v>0</v>
      </c>
      <c r="DO52" s="121">
        <f t="shared" si="58"/>
        <v>0</v>
      </c>
      <c r="DP52" s="121">
        <f t="shared" si="58"/>
        <v>0</v>
      </c>
      <c r="DQ52" s="121">
        <f t="shared" si="58"/>
        <v>0</v>
      </c>
      <c r="DR52" s="121">
        <f t="shared" si="58"/>
        <v>0</v>
      </c>
      <c r="DS52" s="121">
        <f t="shared" si="58"/>
        <v>0</v>
      </c>
      <c r="DT52" s="121">
        <f t="shared" si="58"/>
        <v>0</v>
      </c>
      <c r="DU52" s="121">
        <f t="shared" si="58"/>
        <v>0</v>
      </c>
      <c r="DV52" s="121">
        <f t="shared" si="58"/>
        <v>0</v>
      </c>
      <c r="DW52" s="121">
        <f t="shared" si="58"/>
        <v>0</v>
      </c>
      <c r="DX52" s="121">
        <f t="shared" si="58"/>
        <v>0</v>
      </c>
      <c r="DY52" s="121">
        <f t="shared" si="58"/>
        <v>0</v>
      </c>
      <c r="DZ52" s="121">
        <f t="shared" si="58"/>
        <v>0</v>
      </c>
      <c r="EA52" s="121">
        <f t="shared" ref="EA52:GL52" si="59">EA53</f>
        <v>0</v>
      </c>
      <c r="EB52" s="121">
        <f t="shared" si="59"/>
        <v>0</v>
      </c>
      <c r="EC52" s="121">
        <f t="shared" si="59"/>
        <v>0</v>
      </c>
      <c r="ED52" s="121">
        <f t="shared" si="59"/>
        <v>0</v>
      </c>
      <c r="EE52" s="121">
        <f t="shared" si="59"/>
        <v>0</v>
      </c>
      <c r="EF52" s="121">
        <f t="shared" si="59"/>
        <v>0</v>
      </c>
      <c r="EG52" s="121">
        <f t="shared" si="59"/>
        <v>0</v>
      </c>
      <c r="EH52" s="121">
        <f t="shared" si="59"/>
        <v>0</v>
      </c>
      <c r="EI52" s="121">
        <f t="shared" si="59"/>
        <v>0</v>
      </c>
      <c r="EJ52" s="121">
        <f t="shared" si="59"/>
        <v>0</v>
      </c>
      <c r="EK52" s="121">
        <f t="shared" si="59"/>
        <v>0</v>
      </c>
      <c r="EL52" s="121">
        <f t="shared" si="59"/>
        <v>0</v>
      </c>
      <c r="EM52" s="121">
        <f t="shared" si="59"/>
        <v>0</v>
      </c>
      <c r="EN52" s="121">
        <f t="shared" si="59"/>
        <v>0</v>
      </c>
      <c r="EO52" s="121">
        <f t="shared" si="59"/>
        <v>0</v>
      </c>
      <c r="EP52" s="121">
        <f t="shared" si="59"/>
        <v>0</v>
      </c>
      <c r="EQ52" s="121">
        <f t="shared" si="59"/>
        <v>0</v>
      </c>
      <c r="ER52" s="121">
        <f t="shared" si="59"/>
        <v>0</v>
      </c>
      <c r="ES52" s="121">
        <f t="shared" si="59"/>
        <v>0</v>
      </c>
      <c r="ET52" s="121">
        <f t="shared" si="59"/>
        <v>0</v>
      </c>
      <c r="EU52" s="121">
        <f t="shared" si="59"/>
        <v>0</v>
      </c>
      <c r="EV52" s="121">
        <f t="shared" si="59"/>
        <v>0</v>
      </c>
      <c r="EW52" s="121">
        <f t="shared" si="59"/>
        <v>0</v>
      </c>
      <c r="EX52" s="121">
        <f t="shared" si="59"/>
        <v>0</v>
      </c>
      <c r="EY52" s="121">
        <f t="shared" si="59"/>
        <v>0</v>
      </c>
      <c r="EZ52" s="121">
        <f t="shared" si="59"/>
        <v>0</v>
      </c>
      <c r="FA52" s="121">
        <f t="shared" si="59"/>
        <v>0</v>
      </c>
      <c r="FB52" s="121">
        <f t="shared" si="59"/>
        <v>0</v>
      </c>
      <c r="FC52" s="121">
        <f t="shared" si="59"/>
        <v>0</v>
      </c>
      <c r="FD52" s="121">
        <f t="shared" si="59"/>
        <v>0</v>
      </c>
      <c r="FE52" s="121">
        <f t="shared" si="59"/>
        <v>0</v>
      </c>
      <c r="FF52" s="121">
        <f t="shared" si="59"/>
        <v>0</v>
      </c>
      <c r="FG52" s="121">
        <f t="shared" si="59"/>
        <v>0</v>
      </c>
      <c r="FH52" s="121">
        <f t="shared" si="59"/>
        <v>0</v>
      </c>
      <c r="FI52" s="121">
        <f t="shared" si="59"/>
        <v>0</v>
      </c>
      <c r="FJ52" s="121">
        <f t="shared" si="59"/>
        <v>0</v>
      </c>
      <c r="FK52" s="121">
        <f t="shared" si="59"/>
        <v>0</v>
      </c>
      <c r="FL52" s="121">
        <f t="shared" si="59"/>
        <v>0</v>
      </c>
      <c r="FM52" s="121">
        <f t="shared" si="59"/>
        <v>0</v>
      </c>
      <c r="FN52" s="121">
        <f t="shared" si="59"/>
        <v>0</v>
      </c>
      <c r="FO52" s="121">
        <f t="shared" si="59"/>
        <v>0</v>
      </c>
      <c r="FP52" s="121">
        <f t="shared" si="59"/>
        <v>0</v>
      </c>
      <c r="FQ52" s="121">
        <f t="shared" si="59"/>
        <v>0</v>
      </c>
      <c r="FR52" s="121">
        <f t="shared" si="59"/>
        <v>0</v>
      </c>
      <c r="FS52" s="121">
        <f t="shared" si="59"/>
        <v>0</v>
      </c>
      <c r="FT52" s="121">
        <f t="shared" si="59"/>
        <v>0</v>
      </c>
      <c r="FU52" s="121">
        <f t="shared" si="59"/>
        <v>0</v>
      </c>
      <c r="FV52" s="121">
        <f t="shared" si="59"/>
        <v>0</v>
      </c>
      <c r="FW52" s="121">
        <f t="shared" si="59"/>
        <v>0</v>
      </c>
      <c r="FX52" s="121">
        <f t="shared" si="59"/>
        <v>0</v>
      </c>
      <c r="FY52" s="121">
        <f t="shared" si="59"/>
        <v>0</v>
      </c>
      <c r="FZ52" s="121">
        <f t="shared" si="59"/>
        <v>0</v>
      </c>
      <c r="GA52" s="121">
        <f t="shared" si="59"/>
        <v>0</v>
      </c>
      <c r="GB52" s="121">
        <f t="shared" si="59"/>
        <v>0</v>
      </c>
      <c r="GC52" s="121">
        <f t="shared" si="59"/>
        <v>0</v>
      </c>
      <c r="GD52" s="121">
        <f t="shared" si="59"/>
        <v>0</v>
      </c>
      <c r="GE52" s="121">
        <f t="shared" si="59"/>
        <v>0</v>
      </c>
      <c r="GF52" s="121">
        <f t="shared" si="59"/>
        <v>0</v>
      </c>
      <c r="GG52" s="121">
        <f t="shared" si="59"/>
        <v>0</v>
      </c>
      <c r="GH52" s="121">
        <f t="shared" si="59"/>
        <v>0</v>
      </c>
      <c r="GI52" s="121">
        <f t="shared" si="59"/>
        <v>0</v>
      </c>
      <c r="GJ52" s="121">
        <f t="shared" si="59"/>
        <v>0</v>
      </c>
      <c r="GK52" s="121">
        <f t="shared" si="59"/>
        <v>0</v>
      </c>
      <c r="GL52" s="121">
        <f t="shared" si="59"/>
        <v>0</v>
      </c>
      <c r="GM52" s="121">
        <f t="shared" ref="GM52:IV52" si="60">GM53</f>
        <v>0</v>
      </c>
      <c r="GN52" s="121">
        <f t="shared" si="60"/>
        <v>0</v>
      </c>
      <c r="GO52" s="121">
        <f t="shared" si="60"/>
        <v>0</v>
      </c>
      <c r="GP52" s="121">
        <f t="shared" si="60"/>
        <v>0</v>
      </c>
      <c r="GQ52" s="121">
        <f t="shared" si="60"/>
        <v>0</v>
      </c>
      <c r="GR52" s="121">
        <f t="shared" si="60"/>
        <v>0</v>
      </c>
      <c r="GS52" s="121">
        <f t="shared" si="60"/>
        <v>0</v>
      </c>
      <c r="GT52" s="121">
        <f t="shared" si="60"/>
        <v>0</v>
      </c>
      <c r="GU52" s="121">
        <f t="shared" si="60"/>
        <v>0</v>
      </c>
      <c r="GV52" s="121">
        <f t="shared" si="60"/>
        <v>0</v>
      </c>
      <c r="GW52" s="121">
        <f t="shared" si="60"/>
        <v>0</v>
      </c>
      <c r="GX52" s="121">
        <f t="shared" si="60"/>
        <v>0</v>
      </c>
      <c r="GY52" s="121">
        <f t="shared" si="60"/>
        <v>0</v>
      </c>
      <c r="GZ52" s="121">
        <f t="shared" si="60"/>
        <v>0</v>
      </c>
      <c r="HA52" s="121">
        <f t="shared" si="60"/>
        <v>0</v>
      </c>
      <c r="HB52" s="121">
        <f t="shared" si="60"/>
        <v>0</v>
      </c>
      <c r="HC52" s="121">
        <f t="shared" si="60"/>
        <v>0</v>
      </c>
      <c r="HD52" s="121">
        <f t="shared" si="60"/>
        <v>0</v>
      </c>
      <c r="HE52" s="121">
        <f t="shared" si="60"/>
        <v>0</v>
      </c>
      <c r="HF52" s="121">
        <f t="shared" si="60"/>
        <v>0</v>
      </c>
      <c r="HG52" s="121">
        <f t="shared" si="60"/>
        <v>0</v>
      </c>
      <c r="HH52" s="121">
        <f t="shared" si="60"/>
        <v>0</v>
      </c>
      <c r="HI52" s="121">
        <f t="shared" si="60"/>
        <v>0</v>
      </c>
      <c r="HJ52" s="121">
        <f t="shared" si="60"/>
        <v>0</v>
      </c>
      <c r="HK52" s="121">
        <f t="shared" si="60"/>
        <v>0</v>
      </c>
      <c r="HL52" s="121">
        <f t="shared" si="60"/>
        <v>0</v>
      </c>
      <c r="HM52" s="121">
        <f t="shared" si="60"/>
        <v>0</v>
      </c>
      <c r="HN52" s="121">
        <f t="shared" si="60"/>
        <v>0</v>
      </c>
      <c r="HO52" s="121">
        <f t="shared" si="60"/>
        <v>0</v>
      </c>
      <c r="HP52" s="121">
        <f t="shared" si="60"/>
        <v>0</v>
      </c>
      <c r="HQ52" s="121">
        <f t="shared" si="60"/>
        <v>0</v>
      </c>
      <c r="HR52" s="121">
        <f t="shared" si="60"/>
        <v>0</v>
      </c>
      <c r="HS52" s="121">
        <f t="shared" si="60"/>
        <v>0</v>
      </c>
      <c r="HT52" s="121">
        <f t="shared" si="60"/>
        <v>0</v>
      </c>
      <c r="HU52" s="121">
        <f t="shared" si="60"/>
        <v>0</v>
      </c>
      <c r="HV52" s="121">
        <f t="shared" si="60"/>
        <v>0</v>
      </c>
      <c r="HW52" s="121">
        <f t="shared" si="60"/>
        <v>0</v>
      </c>
      <c r="HX52" s="121">
        <f t="shared" si="60"/>
        <v>0</v>
      </c>
      <c r="HY52" s="121">
        <f t="shared" si="60"/>
        <v>0</v>
      </c>
      <c r="HZ52" s="121">
        <f t="shared" si="60"/>
        <v>0</v>
      </c>
      <c r="IA52" s="121">
        <f t="shared" si="60"/>
        <v>0</v>
      </c>
      <c r="IB52" s="121">
        <f t="shared" si="60"/>
        <v>0</v>
      </c>
      <c r="IC52" s="121">
        <f t="shared" si="60"/>
        <v>0</v>
      </c>
      <c r="ID52" s="121">
        <f t="shared" si="60"/>
        <v>0</v>
      </c>
      <c r="IE52" s="121">
        <f t="shared" si="60"/>
        <v>0</v>
      </c>
      <c r="IF52" s="121">
        <f t="shared" si="60"/>
        <v>0</v>
      </c>
      <c r="IG52" s="121">
        <f t="shared" si="60"/>
        <v>0</v>
      </c>
      <c r="IH52" s="121">
        <f t="shared" si="60"/>
        <v>0</v>
      </c>
      <c r="II52" s="121">
        <f t="shared" si="60"/>
        <v>0</v>
      </c>
      <c r="IJ52" s="121">
        <f t="shared" si="60"/>
        <v>0</v>
      </c>
      <c r="IK52" s="121">
        <f t="shared" si="60"/>
        <v>0</v>
      </c>
      <c r="IL52" s="121">
        <f t="shared" si="60"/>
        <v>0</v>
      </c>
      <c r="IM52" s="121">
        <f t="shared" si="60"/>
        <v>0</v>
      </c>
      <c r="IN52" s="121">
        <f t="shared" si="60"/>
        <v>0</v>
      </c>
      <c r="IO52" s="121">
        <f t="shared" si="60"/>
        <v>0</v>
      </c>
      <c r="IP52" s="121">
        <f t="shared" si="60"/>
        <v>0</v>
      </c>
      <c r="IQ52" s="121">
        <f t="shared" si="60"/>
        <v>0</v>
      </c>
      <c r="IR52" s="121">
        <f t="shared" si="60"/>
        <v>0</v>
      </c>
      <c r="IS52" s="121">
        <f t="shared" si="60"/>
        <v>0</v>
      </c>
      <c r="IT52" s="121">
        <f t="shared" si="60"/>
        <v>0</v>
      </c>
      <c r="IU52" s="121">
        <f t="shared" si="60"/>
        <v>0</v>
      </c>
      <c r="IV52" s="121">
        <f t="shared" si="60"/>
        <v>0</v>
      </c>
      <c r="IW52" s="121">
        <f t="shared" ref="IW52:LE52" si="61">IW53</f>
        <v>0</v>
      </c>
      <c r="IX52" s="121">
        <f t="shared" si="61"/>
        <v>0</v>
      </c>
      <c r="IY52" s="121">
        <f t="shared" si="61"/>
        <v>0</v>
      </c>
      <c r="IZ52" s="121">
        <f t="shared" si="61"/>
        <v>0</v>
      </c>
      <c r="JA52" s="121">
        <f t="shared" si="61"/>
        <v>0</v>
      </c>
      <c r="JB52" s="121">
        <f t="shared" si="61"/>
        <v>0</v>
      </c>
      <c r="JC52" s="121">
        <f t="shared" si="61"/>
        <v>0</v>
      </c>
      <c r="JD52" s="121">
        <f t="shared" si="61"/>
        <v>0</v>
      </c>
      <c r="JE52" s="121">
        <f t="shared" si="61"/>
        <v>0</v>
      </c>
      <c r="JF52" s="121">
        <f t="shared" si="61"/>
        <v>0</v>
      </c>
      <c r="JG52" s="121">
        <f t="shared" si="61"/>
        <v>0</v>
      </c>
      <c r="JH52" s="121">
        <f t="shared" si="61"/>
        <v>0</v>
      </c>
      <c r="JI52" s="121">
        <f t="shared" si="61"/>
        <v>0</v>
      </c>
      <c r="JJ52" s="121">
        <f t="shared" si="61"/>
        <v>0</v>
      </c>
      <c r="JK52" s="121">
        <f t="shared" si="61"/>
        <v>0</v>
      </c>
      <c r="JL52" s="121">
        <f t="shared" si="61"/>
        <v>0</v>
      </c>
      <c r="JM52" s="121">
        <f t="shared" si="61"/>
        <v>0</v>
      </c>
      <c r="JN52" s="121">
        <f t="shared" si="61"/>
        <v>0</v>
      </c>
      <c r="JO52" s="121">
        <f t="shared" si="61"/>
        <v>0</v>
      </c>
      <c r="JP52" s="121">
        <f t="shared" si="61"/>
        <v>0</v>
      </c>
      <c r="JQ52" s="121">
        <f t="shared" si="61"/>
        <v>0</v>
      </c>
      <c r="JR52" s="121">
        <f t="shared" si="61"/>
        <v>0</v>
      </c>
      <c r="JS52" s="121">
        <f t="shared" si="61"/>
        <v>0</v>
      </c>
      <c r="JT52" s="121">
        <f t="shared" si="61"/>
        <v>0</v>
      </c>
      <c r="JU52" s="121">
        <f t="shared" si="61"/>
        <v>0</v>
      </c>
      <c r="JV52" s="121">
        <f t="shared" si="61"/>
        <v>0</v>
      </c>
      <c r="JW52" s="121">
        <f t="shared" si="61"/>
        <v>0</v>
      </c>
      <c r="JX52" s="121">
        <f t="shared" si="61"/>
        <v>0</v>
      </c>
      <c r="JY52" s="121">
        <f t="shared" si="61"/>
        <v>0</v>
      </c>
      <c r="JZ52" s="121">
        <f t="shared" si="61"/>
        <v>0</v>
      </c>
      <c r="KA52" s="121">
        <f t="shared" si="61"/>
        <v>0</v>
      </c>
      <c r="KB52" s="121">
        <f t="shared" si="61"/>
        <v>0</v>
      </c>
      <c r="KC52" s="121">
        <f t="shared" si="61"/>
        <v>0</v>
      </c>
      <c r="KD52" s="121">
        <f t="shared" si="61"/>
        <v>0</v>
      </c>
      <c r="KE52" s="121">
        <f t="shared" si="61"/>
        <v>0</v>
      </c>
      <c r="KF52" s="121">
        <f t="shared" si="61"/>
        <v>0</v>
      </c>
      <c r="KG52" s="121">
        <f t="shared" si="61"/>
        <v>0</v>
      </c>
      <c r="KH52" s="121">
        <f t="shared" si="61"/>
        <v>0</v>
      </c>
      <c r="KI52" s="121">
        <f t="shared" si="61"/>
        <v>0</v>
      </c>
      <c r="KJ52" s="121">
        <f t="shared" si="61"/>
        <v>0</v>
      </c>
      <c r="KK52" s="121">
        <f t="shared" si="61"/>
        <v>0</v>
      </c>
      <c r="KL52" s="121">
        <f t="shared" si="61"/>
        <v>0</v>
      </c>
      <c r="KM52" s="121">
        <f t="shared" si="61"/>
        <v>0</v>
      </c>
      <c r="KN52" s="121">
        <f t="shared" si="61"/>
        <v>0</v>
      </c>
      <c r="KO52" s="121">
        <f t="shared" si="61"/>
        <v>0</v>
      </c>
      <c r="KP52" s="121">
        <f t="shared" si="61"/>
        <v>0</v>
      </c>
      <c r="KQ52" s="121">
        <f t="shared" si="61"/>
        <v>0</v>
      </c>
      <c r="KR52" s="121">
        <f t="shared" si="61"/>
        <v>0</v>
      </c>
      <c r="KS52" s="121">
        <f t="shared" si="61"/>
        <v>0</v>
      </c>
      <c r="KT52" s="121">
        <f t="shared" si="61"/>
        <v>0</v>
      </c>
      <c r="KU52" s="121">
        <f t="shared" si="61"/>
        <v>0</v>
      </c>
      <c r="KV52" s="121">
        <f t="shared" si="61"/>
        <v>0</v>
      </c>
      <c r="KW52" s="121">
        <f t="shared" si="61"/>
        <v>0</v>
      </c>
      <c r="KX52" s="121">
        <f t="shared" si="61"/>
        <v>0</v>
      </c>
      <c r="KY52" s="121">
        <f t="shared" si="61"/>
        <v>0</v>
      </c>
      <c r="KZ52" s="121">
        <f t="shared" si="61"/>
        <v>0</v>
      </c>
      <c r="LA52" s="121">
        <f t="shared" si="61"/>
        <v>0</v>
      </c>
      <c r="LB52" s="121">
        <f t="shared" si="61"/>
        <v>0</v>
      </c>
      <c r="LC52" s="121">
        <f t="shared" si="61"/>
        <v>0</v>
      </c>
      <c r="LD52" s="121">
        <f t="shared" si="61"/>
        <v>0</v>
      </c>
      <c r="LE52" s="121">
        <f t="shared" si="61"/>
        <v>0</v>
      </c>
      <c r="LF52" s="121">
        <f t="shared" ref="LF52:MW52" si="62">LF53</f>
        <v>0</v>
      </c>
      <c r="LG52" s="121">
        <f t="shared" si="62"/>
        <v>0</v>
      </c>
      <c r="LH52" s="121">
        <f t="shared" si="62"/>
        <v>0</v>
      </c>
      <c r="LI52" s="121">
        <f t="shared" si="62"/>
        <v>0</v>
      </c>
      <c r="LJ52" s="121">
        <f t="shared" si="62"/>
        <v>0</v>
      </c>
      <c r="LK52" s="121">
        <f t="shared" si="62"/>
        <v>0</v>
      </c>
      <c r="LL52" s="121">
        <f t="shared" si="62"/>
        <v>0</v>
      </c>
      <c r="LM52" s="121">
        <f t="shared" si="62"/>
        <v>0</v>
      </c>
      <c r="LN52" s="121">
        <f t="shared" si="62"/>
        <v>0</v>
      </c>
      <c r="LO52" s="121">
        <f t="shared" si="62"/>
        <v>0</v>
      </c>
      <c r="LP52" s="121">
        <f t="shared" si="62"/>
        <v>0</v>
      </c>
      <c r="LQ52" s="121">
        <f t="shared" si="62"/>
        <v>0</v>
      </c>
      <c r="LR52" s="121">
        <f t="shared" si="62"/>
        <v>0</v>
      </c>
      <c r="LS52" s="121">
        <f t="shared" si="62"/>
        <v>0</v>
      </c>
      <c r="LT52" s="121">
        <f t="shared" si="62"/>
        <v>0</v>
      </c>
      <c r="LU52" s="121">
        <f t="shared" si="62"/>
        <v>0</v>
      </c>
      <c r="LV52" s="121">
        <f t="shared" si="62"/>
        <v>0</v>
      </c>
      <c r="LW52" s="121">
        <f t="shared" si="62"/>
        <v>0</v>
      </c>
      <c r="LX52" s="121">
        <f t="shared" si="62"/>
        <v>0</v>
      </c>
      <c r="LY52" s="121">
        <f t="shared" si="62"/>
        <v>0</v>
      </c>
      <c r="LZ52" s="121">
        <f t="shared" si="62"/>
        <v>0</v>
      </c>
      <c r="MA52" s="121">
        <f t="shared" si="62"/>
        <v>0</v>
      </c>
      <c r="MB52" s="121">
        <f t="shared" si="62"/>
        <v>0</v>
      </c>
      <c r="MC52" s="121">
        <f t="shared" si="62"/>
        <v>0</v>
      </c>
      <c r="MD52" s="121">
        <f t="shared" si="62"/>
        <v>0</v>
      </c>
      <c r="ME52" s="121">
        <f t="shared" si="62"/>
        <v>0</v>
      </c>
      <c r="MF52" s="121">
        <f t="shared" si="62"/>
        <v>0</v>
      </c>
      <c r="MG52" s="121">
        <f t="shared" si="62"/>
        <v>0</v>
      </c>
      <c r="MH52" s="121">
        <f t="shared" si="62"/>
        <v>0</v>
      </c>
      <c r="MI52" s="121">
        <f t="shared" si="62"/>
        <v>0</v>
      </c>
      <c r="MJ52" s="121">
        <f t="shared" si="62"/>
        <v>0</v>
      </c>
      <c r="MK52" s="121">
        <f t="shared" si="62"/>
        <v>0</v>
      </c>
      <c r="ML52" s="121">
        <f t="shared" si="62"/>
        <v>0</v>
      </c>
      <c r="MM52" s="121">
        <f t="shared" si="62"/>
        <v>0</v>
      </c>
      <c r="MN52" s="121">
        <f t="shared" si="62"/>
        <v>0</v>
      </c>
      <c r="MO52" s="121">
        <f t="shared" si="62"/>
        <v>0</v>
      </c>
      <c r="MP52" s="121">
        <f t="shared" si="62"/>
        <v>0</v>
      </c>
      <c r="MQ52" s="121">
        <f t="shared" si="62"/>
        <v>0</v>
      </c>
      <c r="MR52" s="121">
        <f t="shared" si="62"/>
        <v>0</v>
      </c>
      <c r="MS52" s="121">
        <f t="shared" si="62"/>
        <v>0</v>
      </c>
      <c r="MT52" s="121">
        <f t="shared" si="62"/>
        <v>0</v>
      </c>
      <c r="MU52" s="121">
        <f t="shared" si="62"/>
        <v>0</v>
      </c>
      <c r="MV52" s="121">
        <f t="shared" si="62"/>
        <v>0</v>
      </c>
      <c r="MW52" s="121">
        <f t="shared" si="62"/>
        <v>0</v>
      </c>
      <c r="MX52" s="124"/>
    </row>
    <row r="53" spans="1:367" ht="10.5" customHeight="1" x14ac:dyDescent="0.25">
      <c r="A53" s="150"/>
      <c r="B53" s="150"/>
      <c r="C53" s="150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  <c r="JF53" s="138"/>
      <c r="JG53" s="138"/>
      <c r="JH53" s="138"/>
      <c r="JI53" s="138"/>
      <c r="JJ53" s="138"/>
      <c r="JK53" s="138"/>
      <c r="JL53" s="138"/>
      <c r="JM53" s="138"/>
      <c r="JN53" s="138"/>
      <c r="JO53" s="138"/>
      <c r="JP53" s="138"/>
      <c r="JQ53" s="138"/>
      <c r="JR53" s="138"/>
      <c r="JS53" s="138"/>
      <c r="JT53" s="138"/>
      <c r="JU53" s="138"/>
      <c r="JV53" s="138"/>
      <c r="JW53" s="138"/>
      <c r="JX53" s="138"/>
      <c r="JY53" s="138"/>
      <c r="JZ53" s="138"/>
      <c r="KA53" s="138"/>
      <c r="KB53" s="138"/>
      <c r="KC53" s="138"/>
      <c r="KD53" s="138"/>
      <c r="KE53" s="138"/>
      <c r="KF53" s="138"/>
      <c r="KG53" s="138"/>
      <c r="KH53" s="138"/>
      <c r="KI53" s="138"/>
      <c r="KJ53" s="138"/>
      <c r="KK53" s="138"/>
      <c r="KL53" s="138"/>
      <c r="KM53" s="138"/>
      <c r="KN53" s="138"/>
      <c r="KO53" s="138"/>
      <c r="KP53" s="138"/>
      <c r="KQ53" s="138"/>
      <c r="KR53" s="138"/>
      <c r="KS53" s="138"/>
      <c r="KT53" s="138"/>
      <c r="KU53" s="138"/>
      <c r="KV53" s="138"/>
      <c r="KW53" s="138"/>
      <c r="KX53" s="138"/>
      <c r="KY53" s="138"/>
      <c r="KZ53" s="138"/>
      <c r="LA53" s="138"/>
      <c r="LB53" s="138"/>
      <c r="LC53" s="138"/>
      <c r="LD53" s="138"/>
      <c r="LE53" s="138"/>
      <c r="LF53" s="138"/>
      <c r="LG53" s="138"/>
      <c r="LH53" s="138"/>
      <c r="LI53" s="138"/>
      <c r="LJ53" s="138"/>
      <c r="LK53" s="138"/>
      <c r="LL53" s="138"/>
      <c r="LM53" s="138"/>
      <c r="LN53" s="138"/>
      <c r="LO53" s="138"/>
      <c r="LP53" s="138"/>
      <c r="LQ53" s="138"/>
      <c r="LR53" s="138"/>
      <c r="LS53" s="138"/>
      <c r="LT53" s="138"/>
      <c r="LU53" s="138"/>
      <c r="LV53" s="138"/>
      <c r="LW53" s="138"/>
      <c r="LX53" s="138"/>
      <c r="LY53" s="138"/>
      <c r="LZ53" s="138"/>
      <c r="MA53" s="138"/>
      <c r="MB53" s="138"/>
      <c r="MC53" s="138"/>
      <c r="MD53" s="138"/>
      <c r="ME53" s="138"/>
      <c r="MF53" s="138"/>
      <c r="MG53" s="138"/>
      <c r="MH53" s="138"/>
      <c r="MI53" s="138"/>
      <c r="MJ53" s="138"/>
      <c r="MK53" s="138"/>
      <c r="ML53" s="138"/>
      <c r="MM53" s="138"/>
      <c r="MN53" s="138"/>
      <c r="MO53" s="138"/>
      <c r="MP53" s="138"/>
      <c r="MQ53" s="138"/>
      <c r="MR53" s="138"/>
      <c r="MS53" s="138"/>
      <c r="MT53" s="138"/>
      <c r="MU53" s="138"/>
      <c r="MV53" s="138"/>
      <c r="MW53" s="138"/>
      <c r="MX53" s="114"/>
    </row>
    <row r="54" spans="1:367" ht="12" customHeight="1" x14ac:dyDescent="0.25">
      <c r="A54" s="150"/>
      <c r="B54" s="150"/>
      <c r="C54" s="150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47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47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 t="s">
        <v>472</v>
      </c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1"/>
      <c r="IZ54" s="131"/>
      <c r="JA54" s="131"/>
      <c r="JB54" s="131"/>
      <c r="JC54" s="131"/>
      <c r="JD54" s="131"/>
      <c r="JE54" s="131"/>
      <c r="JF54" s="131"/>
      <c r="JG54" s="131"/>
      <c r="JH54" s="131"/>
      <c r="JI54" s="131"/>
      <c r="JJ54" s="131"/>
      <c r="JK54" s="131"/>
      <c r="JL54" s="131"/>
      <c r="JM54" s="131"/>
      <c r="JN54" s="131"/>
      <c r="JO54" s="131"/>
      <c r="JP54" s="131"/>
      <c r="JQ54" s="131"/>
      <c r="JR54" s="131"/>
      <c r="JS54" s="131"/>
      <c r="JT54" s="131"/>
      <c r="JU54" s="131"/>
      <c r="JV54" s="131"/>
      <c r="JW54" s="131"/>
      <c r="JX54" s="131"/>
      <c r="JY54" s="131"/>
      <c r="JZ54" s="131"/>
      <c r="KA54" s="131"/>
      <c r="KB54" s="131"/>
      <c r="KC54" s="131"/>
      <c r="KD54" s="131"/>
      <c r="KE54" s="131"/>
      <c r="KF54" s="131"/>
      <c r="KG54" s="131"/>
      <c r="KH54" s="131"/>
      <c r="KI54" s="131"/>
      <c r="KJ54" s="131"/>
      <c r="KK54" s="131"/>
      <c r="KL54" s="131"/>
      <c r="KM54" s="131"/>
      <c r="KN54" s="131"/>
      <c r="KO54" s="131"/>
      <c r="KP54" s="131"/>
      <c r="KQ54" s="131"/>
      <c r="KR54" s="131"/>
      <c r="KS54" s="131"/>
      <c r="KT54" s="131"/>
      <c r="KU54" s="131"/>
      <c r="KV54" s="131"/>
      <c r="KW54" s="131"/>
      <c r="KX54" s="131"/>
      <c r="KY54" s="131"/>
      <c r="KZ54" s="131"/>
      <c r="LA54" s="131"/>
      <c r="LB54" s="131"/>
      <c r="LC54" s="131"/>
      <c r="LD54" s="131"/>
      <c r="LE54" s="131"/>
      <c r="LF54" s="131"/>
      <c r="LG54" s="131"/>
      <c r="LH54" s="131"/>
      <c r="LI54" s="131"/>
      <c r="LJ54" s="131"/>
      <c r="LK54" s="131"/>
      <c r="LL54" s="131"/>
      <c r="LM54" s="131"/>
      <c r="LN54" s="131"/>
      <c r="LO54" s="131"/>
      <c r="LP54" s="131"/>
      <c r="LQ54" s="131"/>
      <c r="LR54" s="131"/>
      <c r="LS54" s="131"/>
      <c r="LT54" s="131"/>
      <c r="LU54" s="131"/>
      <c r="LV54" s="131"/>
      <c r="LW54" s="131"/>
      <c r="LX54" s="131"/>
      <c r="LY54" s="131"/>
      <c r="LZ54" s="131"/>
      <c r="MA54" s="131"/>
      <c r="MB54" s="131"/>
      <c r="MC54" s="131"/>
      <c r="MD54" s="131"/>
      <c r="ME54" s="131"/>
      <c r="MF54" s="131"/>
      <c r="MG54" s="131"/>
      <c r="MH54" s="131"/>
      <c r="MI54" s="131"/>
      <c r="MJ54" s="131"/>
      <c r="MK54" s="131"/>
      <c r="ML54" s="131"/>
      <c r="MM54" s="131"/>
      <c r="MN54" s="131"/>
      <c r="MO54" s="131"/>
      <c r="MP54" s="131"/>
      <c r="MQ54" s="131"/>
      <c r="MR54" s="17" t="s">
        <v>501</v>
      </c>
      <c r="MS54" s="17"/>
      <c r="MT54" s="17"/>
      <c r="MU54" s="17"/>
      <c r="MV54" s="17"/>
      <c r="MW54" s="17"/>
      <c r="MX54" s="17"/>
      <c r="MY54" s="11"/>
      <c r="MZ54" s="11"/>
      <c r="NA54" s="11"/>
      <c r="NB54" s="11"/>
      <c r="NC54" s="11"/>
    </row>
    <row r="55" spans="1:367" ht="12.75" customHeight="1" x14ac:dyDescent="0.25">
      <c r="A55" s="170"/>
      <c r="B55" s="150"/>
      <c r="C55" s="15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  <c r="IW55" s="131"/>
      <c r="IX55" s="131"/>
      <c r="IY55" s="131"/>
      <c r="IZ55" s="131"/>
      <c r="JA55" s="131"/>
      <c r="JB55" s="131"/>
      <c r="JC55" s="131"/>
      <c r="JD55" s="131"/>
      <c r="JE55" s="131"/>
      <c r="JF55" s="131"/>
      <c r="JG55" s="131"/>
      <c r="JH55" s="131"/>
      <c r="JI55" s="131"/>
      <c r="JJ55" s="131"/>
      <c r="JK55" s="131"/>
      <c r="JL55" s="131"/>
      <c r="JM55" s="131"/>
      <c r="JN55" s="131"/>
      <c r="JO55" s="131"/>
      <c r="JP55" s="131"/>
      <c r="JQ55" s="131"/>
      <c r="JR55" s="131"/>
      <c r="JS55" s="131"/>
      <c r="JT55" s="131"/>
      <c r="JU55" s="131"/>
      <c r="JV55" s="131"/>
      <c r="JW55" s="131"/>
      <c r="JX55" s="131"/>
      <c r="JY55" s="131"/>
      <c r="JZ55" s="131"/>
      <c r="KA55" s="131"/>
      <c r="KB55" s="131"/>
      <c r="KC55" s="131"/>
      <c r="KD55" s="131"/>
      <c r="KE55" s="131"/>
      <c r="KF55" s="131"/>
      <c r="KG55" s="131"/>
      <c r="KH55" s="131"/>
      <c r="KI55" s="131"/>
      <c r="KJ55" s="131"/>
      <c r="KK55" s="131"/>
      <c r="KL55" s="131"/>
      <c r="KM55" s="131"/>
      <c r="KN55" s="131"/>
      <c r="KO55" s="131"/>
      <c r="KP55" s="131"/>
      <c r="KQ55" s="131"/>
      <c r="KR55" s="131"/>
      <c r="KS55" s="131"/>
      <c r="KT55" s="131"/>
      <c r="KU55" s="131"/>
      <c r="KV55" s="131"/>
      <c r="KW55" s="131"/>
      <c r="KX55" s="131"/>
      <c r="KY55" s="131"/>
      <c r="KZ55" s="131"/>
      <c r="LA55" s="131"/>
      <c r="LB55" s="131"/>
      <c r="LC55" s="131"/>
      <c r="LD55" s="131"/>
      <c r="LE55" s="131"/>
      <c r="LF55" s="131"/>
      <c r="LG55" s="131"/>
      <c r="LH55" s="131"/>
      <c r="LI55" s="131"/>
      <c r="LJ55" s="131"/>
      <c r="LK55" s="131"/>
      <c r="LL55" s="131"/>
      <c r="LM55" s="131"/>
      <c r="LN55" s="131"/>
      <c r="LO55" s="131"/>
      <c r="LP55" s="131"/>
      <c r="LQ55" s="131"/>
      <c r="LR55" s="131"/>
      <c r="LS55" s="131"/>
      <c r="LT55" s="131"/>
      <c r="LU55" s="131"/>
      <c r="LV55" s="131"/>
      <c r="LW55" s="131"/>
      <c r="LX55" s="131"/>
      <c r="LY55" s="131"/>
      <c r="LZ55" s="131"/>
      <c r="MA55" s="131"/>
      <c r="MB55" s="131"/>
      <c r="MC55" s="131"/>
      <c r="MD55" s="131"/>
      <c r="ME55" s="131"/>
      <c r="MF55" s="131"/>
      <c r="MG55" s="131"/>
      <c r="MH55" s="131"/>
      <c r="MI55" s="131"/>
      <c r="MJ55" s="131"/>
      <c r="MK55" s="131"/>
      <c r="ML55" s="131"/>
      <c r="MM55" s="131"/>
      <c r="MN55" s="131"/>
      <c r="MO55" s="131"/>
      <c r="MP55" s="131"/>
      <c r="MQ55" s="131"/>
      <c r="MR55" s="18"/>
      <c r="MS55" s="18" t="s">
        <v>502</v>
      </c>
      <c r="MT55" s="18"/>
      <c r="MU55" s="13" t="s">
        <v>475</v>
      </c>
      <c r="MV55" s="85"/>
      <c r="MW55" s="18"/>
      <c r="MX55" s="15" t="s">
        <v>476</v>
      </c>
      <c r="MY55" s="12"/>
      <c r="MZ55" s="12"/>
      <c r="NA55" s="12"/>
      <c r="NB55" s="12"/>
      <c r="NC55" s="12"/>
    </row>
    <row r="56" spans="1:367" ht="15.75" x14ac:dyDescent="0.25">
      <c r="A56" s="150"/>
      <c r="B56" s="150"/>
      <c r="C56" s="15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48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  <c r="IW56" s="131"/>
      <c r="IX56" s="131"/>
      <c r="IY56" s="131"/>
      <c r="IZ56" s="131"/>
      <c r="JA56" s="131"/>
      <c r="JB56" s="131"/>
      <c r="JC56" s="131"/>
      <c r="JD56" s="131"/>
      <c r="JE56" s="131"/>
      <c r="JF56" s="131"/>
      <c r="JG56" s="131"/>
      <c r="JH56" s="131"/>
      <c r="JI56" s="131"/>
      <c r="JJ56" s="131"/>
      <c r="JK56" s="131"/>
      <c r="JL56" s="131"/>
      <c r="JM56" s="131"/>
      <c r="JN56" s="131"/>
      <c r="JO56" s="131"/>
      <c r="JP56" s="131"/>
      <c r="JQ56" s="131"/>
      <c r="JR56" s="131"/>
      <c r="JS56" s="131"/>
      <c r="JT56" s="131"/>
      <c r="JU56" s="131"/>
      <c r="JV56" s="131"/>
      <c r="JW56" s="131"/>
      <c r="JX56" s="131"/>
      <c r="JY56" s="131"/>
      <c r="JZ56" s="131"/>
      <c r="KA56" s="131"/>
      <c r="KB56" s="131"/>
      <c r="KC56" s="131"/>
      <c r="KD56" s="131"/>
      <c r="KE56" s="131"/>
      <c r="KF56" s="131"/>
      <c r="KG56" s="131"/>
      <c r="KH56" s="131"/>
      <c r="KI56" s="131"/>
      <c r="KJ56" s="131"/>
      <c r="KK56" s="131"/>
      <c r="KL56" s="131"/>
      <c r="KM56" s="131"/>
      <c r="KN56" s="131"/>
      <c r="KO56" s="131"/>
      <c r="KP56" s="131"/>
      <c r="KQ56" s="131"/>
      <c r="KR56" s="131"/>
      <c r="KS56" s="131"/>
      <c r="KT56" s="131"/>
      <c r="KU56" s="131"/>
      <c r="KV56" s="131"/>
      <c r="KW56" s="131"/>
      <c r="KX56" s="131"/>
      <c r="KY56" s="131"/>
      <c r="KZ56" s="131"/>
      <c r="LA56" s="131"/>
      <c r="LB56" s="131"/>
      <c r="LC56" s="131"/>
      <c r="LD56" s="131"/>
      <c r="LE56" s="131"/>
      <c r="LF56" s="131"/>
      <c r="LG56" s="131"/>
      <c r="LH56" s="131"/>
      <c r="LI56" s="131"/>
      <c r="LJ56" s="131"/>
      <c r="LK56" s="131"/>
      <c r="LL56" s="131"/>
      <c r="LM56" s="131"/>
      <c r="LN56" s="131"/>
      <c r="LO56" s="131"/>
      <c r="LP56" s="131"/>
      <c r="LQ56" s="131"/>
      <c r="LR56" s="131"/>
      <c r="LS56" s="131"/>
      <c r="LT56" s="131"/>
      <c r="LU56" s="131"/>
      <c r="LV56" s="131"/>
      <c r="LW56" s="131"/>
      <c r="LX56" s="131"/>
      <c r="LY56" s="131"/>
      <c r="LZ56" s="131"/>
      <c r="MA56" s="131"/>
      <c r="MB56" s="131"/>
      <c r="MC56" s="131"/>
      <c r="MD56" s="131"/>
      <c r="ME56" s="131"/>
      <c r="MF56" s="131"/>
      <c r="MG56" s="131"/>
      <c r="MH56" s="131"/>
      <c r="MI56" s="131"/>
      <c r="MJ56" s="131"/>
      <c r="MK56" s="131"/>
      <c r="ML56" s="131"/>
      <c r="MM56" s="131"/>
      <c r="MN56" s="131"/>
      <c r="MO56" s="131"/>
      <c r="MP56" s="131"/>
      <c r="MQ56" s="131"/>
      <c r="MR56" s="18"/>
      <c r="MS56" s="18"/>
      <c r="MT56" s="18"/>
      <c r="MU56" s="16" t="s">
        <v>477</v>
      </c>
      <c r="MV56" s="18"/>
      <c r="MW56" s="18"/>
      <c r="MX56" s="18"/>
      <c r="MY56" s="12"/>
      <c r="MZ56" s="12"/>
      <c r="NA56" s="16" t="s">
        <v>478</v>
      </c>
      <c r="NB56" s="12"/>
      <c r="NC56" s="12"/>
    </row>
    <row r="57" spans="1:367" ht="11.25" customHeight="1" x14ac:dyDescent="0.25">
      <c r="A57" s="150"/>
      <c r="B57" s="150"/>
      <c r="C57" s="150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  <c r="IW57" s="131"/>
      <c r="IX57" s="131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8"/>
      <c r="MS57" s="18"/>
      <c r="MT57" s="18"/>
      <c r="MU57" s="17" t="s">
        <v>479</v>
      </c>
      <c r="MV57" s="17"/>
      <c r="MW57" s="17"/>
      <c r="MX57" s="18"/>
      <c r="MY57" s="12"/>
      <c r="MZ57" s="12"/>
      <c r="NA57" s="17" t="s">
        <v>480</v>
      </c>
      <c r="NB57" s="12"/>
      <c r="NC57" s="12"/>
    </row>
    <row r="58" spans="1:367" ht="14.25" customHeight="1" x14ac:dyDescent="0.2">
      <c r="A58" s="151"/>
      <c r="B58"/>
      <c r="C58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  <c r="IS58" s="114"/>
      <c r="IT58" s="114"/>
      <c r="IU58" s="114"/>
      <c r="IV58" s="114"/>
      <c r="IW58" s="114"/>
      <c r="IX58" s="114"/>
      <c r="IY58" s="114"/>
      <c r="IZ58" s="114"/>
      <c r="JA58" s="114"/>
      <c r="JB58" s="114"/>
      <c r="JC58" s="114"/>
      <c r="JD58" s="114"/>
      <c r="JE58" s="114"/>
      <c r="JF58" s="114"/>
      <c r="JG58" s="114"/>
      <c r="JH58" s="114"/>
      <c r="JI58" s="114"/>
      <c r="JJ58" s="114"/>
      <c r="JK58" s="114"/>
      <c r="JL58" s="114"/>
      <c r="JM58" s="114"/>
      <c r="JN58" s="114"/>
      <c r="JO58" s="114"/>
      <c r="JP58" s="114"/>
      <c r="JQ58" s="114"/>
      <c r="JR58" s="114"/>
      <c r="JS58" s="114"/>
      <c r="JT58" s="114"/>
      <c r="JU58" s="114"/>
      <c r="JV58" s="114"/>
      <c r="JW58" s="114"/>
      <c r="JX58" s="114"/>
      <c r="JY58" s="114"/>
      <c r="JZ58" s="114"/>
      <c r="KA58" s="114"/>
      <c r="KB58" s="114"/>
      <c r="KC58" s="114"/>
      <c r="KD58" s="114"/>
      <c r="KE58" s="114"/>
      <c r="KF58" s="114"/>
      <c r="KG58" s="114"/>
      <c r="KH58" s="114"/>
      <c r="KI58" s="114"/>
      <c r="KJ58" s="114"/>
      <c r="KK58" s="114"/>
      <c r="KL58" s="114"/>
      <c r="KM58" s="114"/>
      <c r="KN58" s="114"/>
      <c r="KO58" s="114"/>
      <c r="KP58" s="114"/>
      <c r="KQ58" s="114"/>
      <c r="KR58" s="114"/>
      <c r="KS58" s="114"/>
      <c r="KT58" s="114"/>
      <c r="KU58" s="114"/>
      <c r="KV58" s="114"/>
      <c r="KW58" s="114"/>
      <c r="KX58" s="114"/>
      <c r="KY58" s="114"/>
      <c r="KZ58" s="114"/>
      <c r="LA58" s="114"/>
      <c r="LB58" s="114"/>
      <c r="LC58" s="114"/>
      <c r="LD58" s="114"/>
      <c r="LE58" s="114"/>
      <c r="LF58" s="114"/>
      <c r="LG58" s="114"/>
      <c r="LH58" s="114"/>
      <c r="LI58" s="114"/>
      <c r="LJ58" s="114"/>
      <c r="LK58" s="114"/>
      <c r="LL58" s="114"/>
      <c r="LM58" s="114"/>
      <c r="LN58" s="114"/>
      <c r="LO58" s="114"/>
      <c r="LP58" s="114"/>
      <c r="LQ58" s="114"/>
      <c r="LR58" s="114"/>
      <c r="LS58" s="114"/>
      <c r="LT58" s="114"/>
      <c r="LU58" s="114"/>
      <c r="LV58" s="114"/>
      <c r="LW58" s="114"/>
      <c r="LX58" s="114"/>
      <c r="LY58" s="114"/>
      <c r="LZ58" s="114"/>
      <c r="MA58" s="114"/>
      <c r="MB58" s="114"/>
      <c r="MC58" s="114"/>
      <c r="MD58" s="114"/>
      <c r="ME58" s="114"/>
      <c r="MF58" s="114"/>
      <c r="MG58" s="114"/>
      <c r="MH58" s="114"/>
      <c r="MI58" s="114"/>
      <c r="MJ58" s="114"/>
      <c r="MK58" s="114"/>
      <c r="ML58" s="114"/>
      <c r="MM58" s="114"/>
      <c r="MN58" s="114"/>
      <c r="MO58" s="114"/>
      <c r="MP58" s="114"/>
      <c r="MQ58" s="114"/>
      <c r="MR58" s="18"/>
      <c r="MS58" s="18"/>
      <c r="MT58" s="18"/>
      <c r="MU58" s="18"/>
      <c r="MV58" s="18"/>
      <c r="MW58" s="18"/>
      <c r="MX58" s="18" t="s">
        <v>481</v>
      </c>
      <c r="MY58" s="12"/>
      <c r="MZ58" s="12"/>
      <c r="NA58" s="12"/>
      <c r="NB58" s="12"/>
      <c r="NC58" s="12"/>
    </row>
    <row r="59" spans="1:367" ht="15" x14ac:dyDescent="0.2">
      <c r="A59" s="151"/>
      <c r="B59"/>
      <c r="C59"/>
    </row>
  </sheetData>
  <mergeCells count="5">
    <mergeCell ref="A4:C4"/>
    <mergeCell ref="A5:C5"/>
    <mergeCell ref="A6:C6"/>
    <mergeCell ref="A7:C7"/>
    <mergeCell ref="A8:C8"/>
  </mergeCells>
  <pageMargins left="0.2" right="0.19" top="0.02" bottom="0.19" header="0.04" footer="0.19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A70"/>
  <sheetViews>
    <sheetView topLeftCell="A3" workbookViewId="0">
      <selection activeCell="A47" sqref="A47"/>
    </sheetView>
  </sheetViews>
  <sheetFormatPr defaultRowHeight="12.75" x14ac:dyDescent="0.2"/>
  <cols>
    <col min="1" max="1" width="67.85546875" customWidth="1"/>
    <col min="2" max="2" width="9.7109375" customWidth="1"/>
    <col min="3" max="3" width="19.140625" customWidth="1"/>
    <col min="4" max="362" width="0" hidden="1" customWidth="1"/>
  </cols>
  <sheetData>
    <row r="1" spans="1:365" hidden="1" x14ac:dyDescent="0.2"/>
    <row r="2" spans="1:365" hidden="1" x14ac:dyDescent="0.2"/>
    <row r="3" spans="1:365" ht="14.25" x14ac:dyDescent="0.2">
      <c r="A3" s="22" t="s">
        <v>496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2"/>
      <c r="NA3" s="2"/>
    </row>
    <row r="4" spans="1:365" ht="14.25" x14ac:dyDescent="0.2">
      <c r="A4" s="90" t="s">
        <v>497</v>
      </c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2"/>
      <c r="NA4" s="2"/>
    </row>
    <row r="5" spans="1:365" ht="19.5" customHeight="1" x14ac:dyDescent="0.2">
      <c r="A5" s="22" t="s">
        <v>487</v>
      </c>
      <c r="B5" s="23"/>
      <c r="C5" s="91" t="s">
        <v>500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2"/>
      <c r="NA5" s="2"/>
    </row>
    <row r="6" spans="1:365" ht="14.25" hidden="1" x14ac:dyDescent="0.2">
      <c r="A6" s="92" t="s">
        <v>42</v>
      </c>
      <c r="B6" s="93"/>
      <c r="C6" s="94"/>
      <c r="D6" s="24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5">
        <v>32</v>
      </c>
      <c r="AJ6" s="25">
        <v>33</v>
      </c>
      <c r="AK6" s="25">
        <v>34</v>
      </c>
      <c r="AL6" s="25">
        <v>35</v>
      </c>
      <c r="AM6" s="25">
        <v>36</v>
      </c>
      <c r="AN6" s="25">
        <v>37</v>
      </c>
      <c r="AO6" s="25">
        <v>38</v>
      </c>
      <c r="AP6" s="25">
        <v>39</v>
      </c>
      <c r="AQ6" s="25">
        <v>40</v>
      </c>
      <c r="AR6" s="25">
        <v>41</v>
      </c>
      <c r="AS6" s="25">
        <v>42</v>
      </c>
      <c r="AT6" s="25">
        <v>43</v>
      </c>
      <c r="AU6" s="25">
        <v>44</v>
      </c>
      <c r="AV6" s="25">
        <v>45</v>
      </c>
      <c r="AW6" s="25">
        <v>46</v>
      </c>
      <c r="AX6" s="25">
        <v>47</v>
      </c>
      <c r="AY6" s="25">
        <v>48</v>
      </c>
      <c r="AZ6" s="25">
        <v>49</v>
      </c>
      <c r="BA6" s="25">
        <v>50</v>
      </c>
      <c r="BB6" s="26">
        <v>51</v>
      </c>
      <c r="BC6" s="25">
        <v>52</v>
      </c>
      <c r="BD6" s="26">
        <v>53</v>
      </c>
      <c r="BE6" s="25">
        <v>54</v>
      </c>
      <c r="BF6" s="26">
        <v>55</v>
      </c>
      <c r="BG6" s="25">
        <v>56</v>
      </c>
      <c r="BH6" s="26">
        <v>57</v>
      </c>
      <c r="BI6" s="25">
        <v>58</v>
      </c>
      <c r="BJ6" s="26">
        <v>59</v>
      </c>
      <c r="BK6" s="25">
        <v>60</v>
      </c>
      <c r="BL6" s="26">
        <v>61</v>
      </c>
      <c r="BM6" s="25">
        <v>62</v>
      </c>
      <c r="BN6" s="26">
        <v>63</v>
      </c>
      <c r="BO6" s="25">
        <v>64</v>
      </c>
      <c r="BP6" s="26">
        <v>65</v>
      </c>
      <c r="BQ6" s="25">
        <v>66</v>
      </c>
      <c r="BR6" s="26">
        <v>67</v>
      </c>
      <c r="BS6" s="25">
        <v>68</v>
      </c>
      <c r="BT6" s="26">
        <v>69</v>
      </c>
      <c r="BU6" s="25">
        <v>70</v>
      </c>
      <c r="BV6" s="26">
        <v>71</v>
      </c>
      <c r="BW6" s="25">
        <v>72</v>
      </c>
      <c r="BX6" s="26">
        <v>73</v>
      </c>
      <c r="BY6" s="25">
        <v>74</v>
      </c>
      <c r="BZ6" s="26">
        <v>75</v>
      </c>
      <c r="CA6" s="25">
        <v>76</v>
      </c>
      <c r="CB6" s="26">
        <v>77</v>
      </c>
      <c r="CC6" s="25">
        <v>78</v>
      </c>
      <c r="CD6" s="26">
        <v>79</v>
      </c>
      <c r="CE6" s="25">
        <v>80</v>
      </c>
      <c r="CF6" s="26">
        <v>81</v>
      </c>
      <c r="CG6" s="25">
        <v>82</v>
      </c>
      <c r="CH6" s="26">
        <v>83</v>
      </c>
      <c r="CI6" s="25">
        <v>84</v>
      </c>
      <c r="CJ6" s="26">
        <v>85</v>
      </c>
      <c r="CK6" s="25">
        <v>86</v>
      </c>
      <c r="CL6" s="26">
        <v>87</v>
      </c>
      <c r="CM6" s="25">
        <v>88</v>
      </c>
      <c r="CN6" s="26">
        <v>89</v>
      </c>
      <c r="CO6" s="25">
        <v>90</v>
      </c>
      <c r="CP6" s="26">
        <v>91</v>
      </c>
      <c r="CQ6" s="25">
        <v>92</v>
      </c>
      <c r="CR6" s="26">
        <v>93</v>
      </c>
      <c r="CS6" s="26">
        <v>95</v>
      </c>
      <c r="CT6" s="25">
        <v>96</v>
      </c>
      <c r="CU6" s="26">
        <v>97</v>
      </c>
      <c r="CV6" s="25">
        <v>98</v>
      </c>
      <c r="CW6" s="26">
        <v>99</v>
      </c>
      <c r="CX6" s="25">
        <v>100</v>
      </c>
      <c r="CY6" s="26">
        <v>101</v>
      </c>
      <c r="CZ6" s="25">
        <v>102</v>
      </c>
      <c r="DA6" s="26">
        <v>103</v>
      </c>
      <c r="DB6" s="25">
        <v>104</v>
      </c>
      <c r="DC6" s="26">
        <v>105</v>
      </c>
      <c r="DD6" s="25">
        <v>106</v>
      </c>
      <c r="DE6" s="26">
        <v>107</v>
      </c>
      <c r="DF6" s="25">
        <v>108</v>
      </c>
      <c r="DG6" s="26">
        <v>109</v>
      </c>
      <c r="DH6" s="25">
        <v>110</v>
      </c>
      <c r="DI6" s="26">
        <v>111</v>
      </c>
      <c r="DJ6" s="25">
        <v>112</v>
      </c>
      <c r="DK6" s="26">
        <v>113</v>
      </c>
      <c r="DL6" s="25">
        <v>114</v>
      </c>
      <c r="DM6" s="26">
        <v>115</v>
      </c>
      <c r="DN6" s="25">
        <v>116</v>
      </c>
      <c r="DO6" s="26">
        <v>117</v>
      </c>
      <c r="DP6" s="25">
        <v>118</v>
      </c>
      <c r="DQ6" s="26">
        <v>119</v>
      </c>
      <c r="DR6" s="25">
        <v>120</v>
      </c>
      <c r="DS6" s="26">
        <v>121</v>
      </c>
      <c r="DT6" s="25">
        <v>122</v>
      </c>
      <c r="DU6" s="26">
        <v>123</v>
      </c>
      <c r="DV6" s="25">
        <v>124</v>
      </c>
      <c r="DW6" s="26">
        <v>125</v>
      </c>
      <c r="DX6" s="25">
        <v>126</v>
      </c>
      <c r="DY6" s="26">
        <v>127</v>
      </c>
      <c r="DZ6" s="25">
        <v>128</v>
      </c>
      <c r="EA6" s="26">
        <v>129</v>
      </c>
      <c r="EB6" s="25">
        <v>130</v>
      </c>
      <c r="EC6" s="26">
        <v>131</v>
      </c>
      <c r="ED6" s="25">
        <v>132</v>
      </c>
      <c r="EE6" s="26">
        <v>133</v>
      </c>
      <c r="EF6" s="25">
        <v>134</v>
      </c>
      <c r="EG6" s="26">
        <v>135</v>
      </c>
      <c r="EH6" s="25">
        <v>136</v>
      </c>
      <c r="EI6" s="26">
        <v>137</v>
      </c>
      <c r="EJ6" s="27">
        <f>EI6+1</f>
        <v>138</v>
      </c>
      <c r="EK6" s="27">
        <f t="shared" ref="EK6:GV6" si="0">EJ6+1</f>
        <v>139</v>
      </c>
      <c r="EL6" s="27">
        <f t="shared" si="0"/>
        <v>140</v>
      </c>
      <c r="EM6" s="27">
        <f t="shared" si="0"/>
        <v>141</v>
      </c>
      <c r="EN6" s="27">
        <f t="shared" si="0"/>
        <v>142</v>
      </c>
      <c r="EO6" s="27">
        <f t="shared" si="0"/>
        <v>143</v>
      </c>
      <c r="EP6" s="27">
        <f t="shared" si="0"/>
        <v>144</v>
      </c>
      <c r="EQ6" s="27">
        <f t="shared" si="0"/>
        <v>145</v>
      </c>
      <c r="ER6" s="27">
        <f t="shared" si="0"/>
        <v>146</v>
      </c>
      <c r="ES6" s="27">
        <f t="shared" si="0"/>
        <v>147</v>
      </c>
      <c r="ET6" s="27">
        <f t="shared" si="0"/>
        <v>148</v>
      </c>
      <c r="EU6" s="27">
        <f t="shared" si="0"/>
        <v>149</v>
      </c>
      <c r="EV6" s="27">
        <f t="shared" si="0"/>
        <v>150</v>
      </c>
      <c r="EW6" s="27">
        <f t="shared" si="0"/>
        <v>151</v>
      </c>
      <c r="EX6" s="27">
        <f t="shared" si="0"/>
        <v>152</v>
      </c>
      <c r="EY6" s="27">
        <f t="shared" si="0"/>
        <v>153</v>
      </c>
      <c r="EZ6" s="27">
        <f t="shared" si="0"/>
        <v>154</v>
      </c>
      <c r="FA6" s="27">
        <f t="shared" si="0"/>
        <v>155</v>
      </c>
      <c r="FB6" s="27">
        <f t="shared" si="0"/>
        <v>156</v>
      </c>
      <c r="FC6" s="27">
        <f t="shared" si="0"/>
        <v>157</v>
      </c>
      <c r="FD6" s="27">
        <f t="shared" si="0"/>
        <v>158</v>
      </c>
      <c r="FE6" s="27">
        <f t="shared" si="0"/>
        <v>159</v>
      </c>
      <c r="FF6" s="27">
        <f t="shared" si="0"/>
        <v>160</v>
      </c>
      <c r="FG6" s="27">
        <f t="shared" si="0"/>
        <v>161</v>
      </c>
      <c r="FH6" s="27">
        <f t="shared" si="0"/>
        <v>162</v>
      </c>
      <c r="FI6" s="27">
        <f t="shared" si="0"/>
        <v>163</v>
      </c>
      <c r="FJ6" s="27">
        <f t="shared" si="0"/>
        <v>164</v>
      </c>
      <c r="FK6" s="27">
        <f t="shared" si="0"/>
        <v>165</v>
      </c>
      <c r="FL6" s="27">
        <f t="shared" si="0"/>
        <v>166</v>
      </c>
      <c r="FM6" s="27">
        <f t="shared" si="0"/>
        <v>167</v>
      </c>
      <c r="FN6" s="27">
        <f t="shared" si="0"/>
        <v>168</v>
      </c>
      <c r="FO6" s="27">
        <f t="shared" si="0"/>
        <v>169</v>
      </c>
      <c r="FP6" s="27">
        <f t="shared" si="0"/>
        <v>170</v>
      </c>
      <c r="FQ6" s="27">
        <f t="shared" si="0"/>
        <v>171</v>
      </c>
      <c r="FR6" s="27">
        <f t="shared" si="0"/>
        <v>172</v>
      </c>
      <c r="FS6" s="27">
        <f t="shared" si="0"/>
        <v>173</v>
      </c>
      <c r="FT6" s="27">
        <f t="shared" si="0"/>
        <v>174</v>
      </c>
      <c r="FU6" s="27">
        <f t="shared" si="0"/>
        <v>175</v>
      </c>
      <c r="FV6" s="27">
        <f t="shared" si="0"/>
        <v>176</v>
      </c>
      <c r="FW6" s="27">
        <f t="shared" si="0"/>
        <v>177</v>
      </c>
      <c r="FX6" s="27">
        <f t="shared" si="0"/>
        <v>178</v>
      </c>
      <c r="FY6" s="27">
        <f t="shared" si="0"/>
        <v>179</v>
      </c>
      <c r="FZ6" s="27">
        <f t="shared" si="0"/>
        <v>180</v>
      </c>
      <c r="GA6" s="27">
        <f t="shared" si="0"/>
        <v>181</v>
      </c>
      <c r="GB6" s="27">
        <f t="shared" si="0"/>
        <v>182</v>
      </c>
      <c r="GC6" s="27">
        <f t="shared" si="0"/>
        <v>183</v>
      </c>
      <c r="GD6" s="27">
        <f t="shared" si="0"/>
        <v>184</v>
      </c>
      <c r="GE6" s="27">
        <f t="shared" si="0"/>
        <v>185</v>
      </c>
      <c r="GF6" s="27">
        <f t="shared" si="0"/>
        <v>186</v>
      </c>
      <c r="GG6" s="27">
        <f t="shared" si="0"/>
        <v>187</v>
      </c>
      <c r="GH6" s="27">
        <f t="shared" si="0"/>
        <v>188</v>
      </c>
      <c r="GI6" s="27">
        <f t="shared" si="0"/>
        <v>189</v>
      </c>
      <c r="GJ6" s="27">
        <f t="shared" si="0"/>
        <v>190</v>
      </c>
      <c r="GK6" s="27">
        <f t="shared" si="0"/>
        <v>191</v>
      </c>
      <c r="GL6" s="27">
        <f t="shared" si="0"/>
        <v>192</v>
      </c>
      <c r="GM6" s="27">
        <f t="shared" si="0"/>
        <v>193</v>
      </c>
      <c r="GN6" s="27">
        <f t="shared" si="0"/>
        <v>194</v>
      </c>
      <c r="GO6" s="27">
        <f t="shared" si="0"/>
        <v>195</v>
      </c>
      <c r="GP6" s="27">
        <f t="shared" si="0"/>
        <v>196</v>
      </c>
      <c r="GQ6" s="27">
        <f t="shared" si="0"/>
        <v>197</v>
      </c>
      <c r="GR6" s="27">
        <f t="shared" si="0"/>
        <v>198</v>
      </c>
      <c r="GS6" s="27">
        <f t="shared" si="0"/>
        <v>199</v>
      </c>
      <c r="GT6" s="27">
        <f t="shared" si="0"/>
        <v>200</v>
      </c>
      <c r="GU6" s="27">
        <f t="shared" si="0"/>
        <v>201</v>
      </c>
      <c r="GV6" s="27">
        <f t="shared" si="0"/>
        <v>202</v>
      </c>
      <c r="GW6" s="27">
        <f t="shared" ref="GW6:JH6" si="1">GV6+1</f>
        <v>203</v>
      </c>
      <c r="GX6" s="27">
        <f t="shared" si="1"/>
        <v>204</v>
      </c>
      <c r="GY6" s="27">
        <f t="shared" si="1"/>
        <v>205</v>
      </c>
      <c r="GZ6" s="27">
        <f t="shared" si="1"/>
        <v>206</v>
      </c>
      <c r="HA6" s="27">
        <v>207</v>
      </c>
      <c r="HB6" s="27">
        <f t="shared" si="1"/>
        <v>208</v>
      </c>
      <c r="HC6" s="27">
        <f t="shared" si="1"/>
        <v>209</v>
      </c>
      <c r="HD6" s="27">
        <f t="shared" si="1"/>
        <v>210</v>
      </c>
      <c r="HE6" s="27">
        <f t="shared" si="1"/>
        <v>211</v>
      </c>
      <c r="HF6" s="27">
        <f t="shared" si="1"/>
        <v>212</v>
      </c>
      <c r="HG6" s="27">
        <f t="shared" si="1"/>
        <v>213</v>
      </c>
      <c r="HH6" s="27">
        <f t="shared" si="1"/>
        <v>214</v>
      </c>
      <c r="HI6" s="27">
        <f t="shared" si="1"/>
        <v>215</v>
      </c>
      <c r="HJ6" s="27">
        <f t="shared" si="1"/>
        <v>216</v>
      </c>
      <c r="HK6" s="27">
        <f t="shared" si="1"/>
        <v>217</v>
      </c>
      <c r="HL6" s="27">
        <f t="shared" si="1"/>
        <v>218</v>
      </c>
      <c r="HM6" s="27">
        <f t="shared" si="1"/>
        <v>219</v>
      </c>
      <c r="HN6" s="27">
        <f t="shared" si="1"/>
        <v>220</v>
      </c>
      <c r="HO6" s="27">
        <f t="shared" si="1"/>
        <v>221</v>
      </c>
      <c r="HP6" s="27">
        <f t="shared" si="1"/>
        <v>222</v>
      </c>
      <c r="HQ6" s="27">
        <f t="shared" si="1"/>
        <v>223</v>
      </c>
      <c r="HR6" s="27">
        <f t="shared" si="1"/>
        <v>224</v>
      </c>
      <c r="HS6" s="27">
        <f t="shared" si="1"/>
        <v>225</v>
      </c>
      <c r="HT6" s="27">
        <f t="shared" si="1"/>
        <v>226</v>
      </c>
      <c r="HU6" s="27">
        <f t="shared" si="1"/>
        <v>227</v>
      </c>
      <c r="HV6" s="27">
        <f t="shared" si="1"/>
        <v>228</v>
      </c>
      <c r="HW6" s="27">
        <f t="shared" si="1"/>
        <v>229</v>
      </c>
      <c r="HX6" s="27">
        <f t="shared" si="1"/>
        <v>230</v>
      </c>
      <c r="HY6" s="27">
        <f t="shared" si="1"/>
        <v>231</v>
      </c>
      <c r="HZ6" s="27">
        <f t="shared" si="1"/>
        <v>232</v>
      </c>
      <c r="IA6" s="27">
        <f t="shared" si="1"/>
        <v>233</v>
      </c>
      <c r="IB6" s="27">
        <f t="shared" si="1"/>
        <v>234</v>
      </c>
      <c r="IC6" s="27">
        <f t="shared" si="1"/>
        <v>235</v>
      </c>
      <c r="ID6" s="27">
        <f t="shared" si="1"/>
        <v>236</v>
      </c>
      <c r="IE6" s="27">
        <f t="shared" si="1"/>
        <v>237</v>
      </c>
      <c r="IF6" s="27">
        <f t="shared" si="1"/>
        <v>238</v>
      </c>
      <c r="IG6" s="27">
        <f t="shared" si="1"/>
        <v>239</v>
      </c>
      <c r="IH6" s="27">
        <f t="shared" si="1"/>
        <v>240</v>
      </c>
      <c r="II6" s="27">
        <f t="shared" si="1"/>
        <v>241</v>
      </c>
      <c r="IJ6" s="27">
        <f t="shared" si="1"/>
        <v>242</v>
      </c>
      <c r="IK6" s="27">
        <f t="shared" si="1"/>
        <v>243</v>
      </c>
      <c r="IL6" s="27">
        <f t="shared" si="1"/>
        <v>244</v>
      </c>
      <c r="IM6" s="27">
        <f t="shared" si="1"/>
        <v>245</v>
      </c>
      <c r="IN6" s="27">
        <f t="shared" si="1"/>
        <v>246</v>
      </c>
      <c r="IO6" s="27">
        <f t="shared" si="1"/>
        <v>247</v>
      </c>
      <c r="IP6" s="27">
        <f t="shared" si="1"/>
        <v>248</v>
      </c>
      <c r="IQ6" s="27">
        <f t="shared" si="1"/>
        <v>249</v>
      </c>
      <c r="IR6" s="27">
        <f t="shared" si="1"/>
        <v>250</v>
      </c>
      <c r="IS6" s="27">
        <f t="shared" si="1"/>
        <v>251</v>
      </c>
      <c r="IT6" s="27">
        <f t="shared" si="1"/>
        <v>252</v>
      </c>
      <c r="IU6" s="27">
        <f t="shared" si="1"/>
        <v>253</v>
      </c>
      <c r="IV6" s="27">
        <f t="shared" si="1"/>
        <v>254</v>
      </c>
      <c r="IW6" s="27">
        <f t="shared" si="1"/>
        <v>255</v>
      </c>
      <c r="IX6" s="27">
        <f t="shared" si="1"/>
        <v>256</v>
      </c>
      <c r="IY6" s="27">
        <f t="shared" si="1"/>
        <v>257</v>
      </c>
      <c r="IZ6" s="27">
        <f t="shared" si="1"/>
        <v>258</v>
      </c>
      <c r="JA6" s="27">
        <f t="shared" si="1"/>
        <v>259</v>
      </c>
      <c r="JB6" s="27">
        <f t="shared" si="1"/>
        <v>260</v>
      </c>
      <c r="JC6" s="27">
        <f t="shared" si="1"/>
        <v>261</v>
      </c>
      <c r="JD6" s="27">
        <f t="shared" si="1"/>
        <v>262</v>
      </c>
      <c r="JE6" s="27">
        <f t="shared" si="1"/>
        <v>263</v>
      </c>
      <c r="JF6" s="27">
        <f t="shared" si="1"/>
        <v>264</v>
      </c>
      <c r="JG6" s="27">
        <f t="shared" si="1"/>
        <v>265</v>
      </c>
      <c r="JH6" s="27">
        <f t="shared" si="1"/>
        <v>266</v>
      </c>
      <c r="JI6" s="27">
        <f t="shared" ref="JI6:LB6" si="2">JH6+1</f>
        <v>267</v>
      </c>
      <c r="JJ6" s="27">
        <f t="shared" si="2"/>
        <v>268</v>
      </c>
      <c r="JK6" s="27">
        <f t="shared" si="2"/>
        <v>269</v>
      </c>
      <c r="JL6" s="27">
        <f t="shared" si="2"/>
        <v>270</v>
      </c>
      <c r="JM6" s="27">
        <f t="shared" si="2"/>
        <v>271</v>
      </c>
      <c r="JN6" s="27">
        <f t="shared" si="2"/>
        <v>272</v>
      </c>
      <c r="JO6" s="27">
        <f t="shared" si="2"/>
        <v>273</v>
      </c>
      <c r="JP6" s="27">
        <f t="shared" si="2"/>
        <v>274</v>
      </c>
      <c r="JQ6" s="27">
        <f>JP6+1</f>
        <v>275</v>
      </c>
      <c r="JR6" s="27">
        <f t="shared" si="2"/>
        <v>276</v>
      </c>
      <c r="JS6" s="27">
        <f>JR6+1</f>
        <v>277</v>
      </c>
      <c r="JT6" s="27">
        <f t="shared" si="2"/>
        <v>278</v>
      </c>
      <c r="JU6" s="27">
        <f t="shared" si="2"/>
        <v>279</v>
      </c>
      <c r="JV6" s="27">
        <f t="shared" si="2"/>
        <v>280</v>
      </c>
      <c r="JW6" s="27">
        <f t="shared" si="2"/>
        <v>281</v>
      </c>
      <c r="JX6" s="27">
        <f t="shared" si="2"/>
        <v>282</v>
      </c>
      <c r="JY6" s="27">
        <f t="shared" si="2"/>
        <v>283</v>
      </c>
      <c r="JZ6" s="27">
        <f t="shared" si="2"/>
        <v>284</v>
      </c>
      <c r="KA6" s="27">
        <f t="shared" si="2"/>
        <v>285</v>
      </c>
      <c r="KB6" s="27">
        <f t="shared" si="2"/>
        <v>286</v>
      </c>
      <c r="KC6" s="27">
        <f t="shared" si="2"/>
        <v>287</v>
      </c>
      <c r="KD6" s="27">
        <f t="shared" si="2"/>
        <v>288</v>
      </c>
      <c r="KE6" s="27">
        <f t="shared" si="2"/>
        <v>289</v>
      </c>
      <c r="KF6" s="27">
        <f t="shared" si="2"/>
        <v>290</v>
      </c>
      <c r="KG6" s="27">
        <f t="shared" si="2"/>
        <v>291</v>
      </c>
      <c r="KH6" s="27">
        <f t="shared" si="2"/>
        <v>292</v>
      </c>
      <c r="KI6" s="27">
        <f t="shared" si="2"/>
        <v>293</v>
      </c>
      <c r="KJ6" s="27">
        <f t="shared" si="2"/>
        <v>294</v>
      </c>
      <c r="KK6" s="27">
        <f t="shared" si="2"/>
        <v>295</v>
      </c>
      <c r="KL6" s="27">
        <f t="shared" si="2"/>
        <v>296</v>
      </c>
      <c r="KM6" s="27">
        <f t="shared" si="2"/>
        <v>297</v>
      </c>
      <c r="KN6" s="27">
        <f t="shared" si="2"/>
        <v>298</v>
      </c>
      <c r="KO6" s="27">
        <f t="shared" si="2"/>
        <v>299</v>
      </c>
      <c r="KP6" s="27">
        <f t="shared" si="2"/>
        <v>300</v>
      </c>
      <c r="KQ6" s="27">
        <f t="shared" si="2"/>
        <v>301</v>
      </c>
      <c r="KR6" s="27">
        <f t="shared" si="2"/>
        <v>302</v>
      </c>
      <c r="KS6" s="27">
        <f t="shared" si="2"/>
        <v>303</v>
      </c>
      <c r="KT6" s="27">
        <f t="shared" si="2"/>
        <v>304</v>
      </c>
      <c r="KU6" s="27">
        <f t="shared" si="2"/>
        <v>305</v>
      </c>
      <c r="KV6" s="27">
        <f t="shared" si="2"/>
        <v>306</v>
      </c>
      <c r="KW6" s="27">
        <f t="shared" si="2"/>
        <v>307</v>
      </c>
      <c r="KX6" s="27">
        <f t="shared" si="2"/>
        <v>308</v>
      </c>
      <c r="KY6" s="27">
        <f t="shared" si="2"/>
        <v>309</v>
      </c>
      <c r="KZ6" s="27">
        <f t="shared" si="2"/>
        <v>310</v>
      </c>
      <c r="LA6" s="27">
        <f t="shared" si="2"/>
        <v>311</v>
      </c>
      <c r="LB6" s="27">
        <f t="shared" si="2"/>
        <v>312</v>
      </c>
      <c r="LC6" s="27">
        <v>314</v>
      </c>
      <c r="LD6" s="27">
        <f t="shared" ref="LD6:LJ6" si="3">LC6+1</f>
        <v>315</v>
      </c>
      <c r="LE6" s="27">
        <f t="shared" si="3"/>
        <v>316</v>
      </c>
      <c r="LF6" s="27">
        <f t="shared" si="3"/>
        <v>317</v>
      </c>
      <c r="LG6" s="27">
        <f t="shared" si="3"/>
        <v>318</v>
      </c>
      <c r="LH6" s="27">
        <f t="shared" si="3"/>
        <v>319</v>
      </c>
      <c r="LI6" s="27">
        <f t="shared" si="3"/>
        <v>320</v>
      </c>
      <c r="LJ6" s="27">
        <f t="shared" si="3"/>
        <v>321</v>
      </c>
      <c r="LK6" s="27">
        <v>324</v>
      </c>
      <c r="LL6" s="27">
        <f t="shared" ref="LL6:MW6" si="4">LK6+1</f>
        <v>325</v>
      </c>
      <c r="LM6" s="27">
        <f t="shared" si="4"/>
        <v>326</v>
      </c>
      <c r="LN6" s="27">
        <f t="shared" si="4"/>
        <v>327</v>
      </c>
      <c r="LO6" s="27">
        <f t="shared" si="4"/>
        <v>328</v>
      </c>
      <c r="LP6" s="27">
        <f t="shared" si="4"/>
        <v>329</v>
      </c>
      <c r="LQ6" s="27">
        <f t="shared" si="4"/>
        <v>330</v>
      </c>
      <c r="LR6" s="27">
        <f t="shared" si="4"/>
        <v>331</v>
      </c>
      <c r="LS6" s="27">
        <f t="shared" si="4"/>
        <v>332</v>
      </c>
      <c r="LT6" s="27">
        <f t="shared" si="4"/>
        <v>333</v>
      </c>
      <c r="LU6" s="27">
        <f t="shared" si="4"/>
        <v>334</v>
      </c>
      <c r="LV6" s="27">
        <f t="shared" si="4"/>
        <v>335</v>
      </c>
      <c r="LW6" s="27">
        <f t="shared" si="4"/>
        <v>336</v>
      </c>
      <c r="LX6" s="27">
        <f t="shared" si="4"/>
        <v>337</v>
      </c>
      <c r="LY6" s="27">
        <f t="shared" si="4"/>
        <v>338</v>
      </c>
      <c r="LZ6" s="27">
        <f t="shared" si="4"/>
        <v>339</v>
      </c>
      <c r="MA6" s="27">
        <f t="shared" si="4"/>
        <v>340</v>
      </c>
      <c r="MB6" s="27">
        <f t="shared" si="4"/>
        <v>341</v>
      </c>
      <c r="MC6" s="27">
        <f t="shared" si="4"/>
        <v>342</v>
      </c>
      <c r="MD6" s="27">
        <f t="shared" si="4"/>
        <v>343</v>
      </c>
      <c r="ME6" s="27">
        <f t="shared" si="4"/>
        <v>344</v>
      </c>
      <c r="MF6" s="27">
        <f t="shared" si="4"/>
        <v>345</v>
      </c>
      <c r="MG6" s="27">
        <f t="shared" si="4"/>
        <v>346</v>
      </c>
      <c r="MH6" s="27">
        <f t="shared" si="4"/>
        <v>347</v>
      </c>
      <c r="MI6" s="27">
        <f t="shared" si="4"/>
        <v>348</v>
      </c>
      <c r="MJ6" s="27">
        <f t="shared" si="4"/>
        <v>349</v>
      </c>
      <c r="MK6" s="27">
        <f t="shared" si="4"/>
        <v>350</v>
      </c>
      <c r="ML6" s="27">
        <f t="shared" si="4"/>
        <v>351</v>
      </c>
      <c r="MM6" s="27">
        <f t="shared" si="4"/>
        <v>352</v>
      </c>
      <c r="MN6" s="27">
        <f t="shared" si="4"/>
        <v>353</v>
      </c>
      <c r="MO6" s="27">
        <f t="shared" si="4"/>
        <v>354</v>
      </c>
      <c r="MP6" s="27">
        <f t="shared" si="4"/>
        <v>355</v>
      </c>
      <c r="MQ6" s="27">
        <f t="shared" si="4"/>
        <v>356</v>
      </c>
      <c r="MR6" s="27">
        <f t="shared" si="4"/>
        <v>357</v>
      </c>
      <c r="MS6" s="27">
        <f t="shared" si="4"/>
        <v>358</v>
      </c>
      <c r="MT6" s="27">
        <f t="shared" si="4"/>
        <v>359</v>
      </c>
      <c r="MU6" s="27">
        <f t="shared" si="4"/>
        <v>360</v>
      </c>
      <c r="MV6" s="27">
        <f t="shared" si="4"/>
        <v>361</v>
      </c>
      <c r="MW6" s="27">
        <f t="shared" si="4"/>
        <v>362</v>
      </c>
      <c r="MX6" s="28"/>
      <c r="MY6" s="28"/>
      <c r="MZ6" s="5"/>
      <c r="NA6" s="5"/>
    </row>
    <row r="7" spans="1:365" ht="14.25" hidden="1" x14ac:dyDescent="0.2">
      <c r="A7" s="95" t="s">
        <v>6</v>
      </c>
      <c r="B7" s="96"/>
      <c r="C7" s="97"/>
      <c r="D7" s="29">
        <v>5201705</v>
      </c>
      <c r="E7" s="29">
        <v>2618532</v>
      </c>
      <c r="F7" s="29">
        <v>2675471</v>
      </c>
      <c r="G7" s="29">
        <v>5213789</v>
      </c>
      <c r="H7" s="29">
        <v>5068827</v>
      </c>
      <c r="I7" s="29">
        <v>2086999</v>
      </c>
      <c r="J7" s="29">
        <v>5170672</v>
      </c>
      <c r="K7" s="29">
        <v>2120879</v>
      </c>
      <c r="L7" s="29">
        <v>2763788</v>
      </c>
      <c r="M7" s="29">
        <v>2873575</v>
      </c>
      <c r="N7" s="29">
        <v>2848376</v>
      </c>
      <c r="O7" s="29">
        <v>2074192</v>
      </c>
      <c r="P7" s="29">
        <v>5018536</v>
      </c>
      <c r="Q7" s="29">
        <v>5118832</v>
      </c>
      <c r="R7" s="29">
        <v>2644495</v>
      </c>
      <c r="S7" s="30">
        <v>2040239</v>
      </c>
      <c r="T7" s="29">
        <v>2672146</v>
      </c>
      <c r="U7" s="30">
        <v>2766272</v>
      </c>
      <c r="V7" s="29">
        <v>2657457</v>
      </c>
      <c r="W7" s="29">
        <v>2877694</v>
      </c>
      <c r="X7" s="29">
        <v>2063352</v>
      </c>
      <c r="Y7" s="29">
        <v>2112868</v>
      </c>
      <c r="Z7" s="29">
        <v>2819627</v>
      </c>
      <c r="AA7" s="29">
        <v>2587815</v>
      </c>
      <c r="AB7" s="29">
        <v>2863847</v>
      </c>
      <c r="AC7" s="29">
        <v>2683083</v>
      </c>
      <c r="AD7" s="29">
        <v>2816555</v>
      </c>
      <c r="AE7" s="30">
        <v>5056721</v>
      </c>
      <c r="AF7" s="29">
        <v>2555409</v>
      </c>
      <c r="AG7" s="29">
        <v>2008572</v>
      </c>
      <c r="AH7" s="29">
        <v>2640635</v>
      </c>
      <c r="AI7" s="29">
        <v>2626454</v>
      </c>
      <c r="AJ7" s="30">
        <v>2844923</v>
      </c>
      <c r="AK7" s="29">
        <v>2574233</v>
      </c>
      <c r="AL7" s="29">
        <v>2774534</v>
      </c>
      <c r="AM7" s="29">
        <v>2007126</v>
      </c>
      <c r="AN7" s="29">
        <v>2609436</v>
      </c>
      <c r="AO7" s="29">
        <v>2014491</v>
      </c>
      <c r="AP7" s="29">
        <v>2551764</v>
      </c>
      <c r="AQ7" s="29">
        <v>2550075</v>
      </c>
      <c r="AR7" s="30">
        <v>2855119</v>
      </c>
      <c r="AS7" s="29">
        <v>2094533</v>
      </c>
      <c r="AT7" s="29">
        <v>2100754</v>
      </c>
      <c r="AU7" s="29">
        <v>2736381</v>
      </c>
      <c r="AV7" s="29">
        <v>5007127</v>
      </c>
      <c r="AW7" s="29">
        <v>2643928</v>
      </c>
      <c r="AX7" s="29">
        <v>2054701</v>
      </c>
      <c r="AY7" s="29">
        <v>2862468</v>
      </c>
      <c r="AZ7" s="29">
        <v>5156246</v>
      </c>
      <c r="BA7" s="29">
        <v>2765853</v>
      </c>
      <c r="BB7" s="31">
        <v>2024594</v>
      </c>
      <c r="BC7" s="31">
        <v>2086166</v>
      </c>
      <c r="BD7" s="31">
        <v>2152924</v>
      </c>
      <c r="BE7" s="31">
        <v>2682702</v>
      </c>
      <c r="BF7" s="31">
        <v>2736624</v>
      </c>
      <c r="BG7" s="31">
        <v>2061848</v>
      </c>
      <c r="BH7" s="31">
        <v>2570769</v>
      </c>
      <c r="BI7" s="31">
        <v>2544938</v>
      </c>
      <c r="BJ7" s="31">
        <v>2010933</v>
      </c>
      <c r="BK7" s="31">
        <v>2001632</v>
      </c>
      <c r="BL7" s="31">
        <v>2081547</v>
      </c>
      <c r="BM7" s="31">
        <v>5002486</v>
      </c>
      <c r="BN7" s="31">
        <v>5076021</v>
      </c>
      <c r="BO7" s="31">
        <v>5088755</v>
      </c>
      <c r="BP7" s="31">
        <v>2711834</v>
      </c>
      <c r="BQ7" s="31">
        <v>2854384</v>
      </c>
      <c r="BR7" s="31">
        <v>2169967</v>
      </c>
      <c r="BS7" s="31">
        <v>2784041</v>
      </c>
      <c r="BT7" s="31">
        <v>2558661</v>
      </c>
      <c r="BU7" s="31">
        <v>2732726</v>
      </c>
      <c r="BV7" s="31">
        <v>2844001</v>
      </c>
      <c r="BW7" s="31">
        <v>2025736</v>
      </c>
      <c r="BX7" s="31">
        <v>2571498</v>
      </c>
      <c r="BY7" s="31">
        <v>5108357</v>
      </c>
      <c r="BZ7" s="31">
        <v>2579634</v>
      </c>
      <c r="CA7" s="31">
        <v>5082986</v>
      </c>
      <c r="CB7" s="31">
        <v>2852772</v>
      </c>
      <c r="CC7" s="31">
        <v>2034859</v>
      </c>
      <c r="CD7" s="31">
        <v>2067544</v>
      </c>
      <c r="CE7" s="31">
        <v>2743744</v>
      </c>
      <c r="CF7" s="31">
        <v>2091283</v>
      </c>
      <c r="CG7" s="31">
        <v>2024101</v>
      </c>
      <c r="CH7" s="31">
        <v>2550245</v>
      </c>
      <c r="CI7" s="31">
        <v>2027615</v>
      </c>
      <c r="CJ7" s="31">
        <v>2550466</v>
      </c>
      <c r="CK7" s="31">
        <v>2848317</v>
      </c>
      <c r="CL7" s="31">
        <v>5051134</v>
      </c>
      <c r="CM7" s="31">
        <v>2095025</v>
      </c>
      <c r="CN7" s="31">
        <v>2048892</v>
      </c>
      <c r="CO7" s="31">
        <v>2554518</v>
      </c>
      <c r="CP7" s="31">
        <v>2029278</v>
      </c>
      <c r="CQ7" s="31">
        <v>2811138</v>
      </c>
      <c r="CR7" s="31">
        <v>2761114</v>
      </c>
      <c r="CS7" s="31">
        <v>2031698</v>
      </c>
      <c r="CT7" s="31">
        <v>2665603</v>
      </c>
      <c r="CU7" s="31">
        <v>2010895</v>
      </c>
      <c r="CV7" s="31">
        <v>2774666</v>
      </c>
      <c r="CW7" s="31">
        <v>5003539</v>
      </c>
      <c r="CX7" s="31">
        <v>2026236</v>
      </c>
      <c r="CY7" s="31">
        <v>2617749</v>
      </c>
      <c r="CZ7" s="31">
        <v>2618478</v>
      </c>
      <c r="DA7" s="31">
        <v>2843129</v>
      </c>
      <c r="DB7" s="31">
        <v>2628058</v>
      </c>
      <c r="DC7" s="31">
        <v>2101904</v>
      </c>
      <c r="DD7" s="31">
        <v>2841002</v>
      </c>
      <c r="DE7" s="31">
        <v>2590565</v>
      </c>
      <c r="DF7" s="31">
        <v>2105497</v>
      </c>
      <c r="DG7" s="31">
        <v>2068478</v>
      </c>
      <c r="DH7" s="31">
        <v>2587645</v>
      </c>
      <c r="DI7" s="31">
        <v>2596873</v>
      </c>
      <c r="DJ7" s="31">
        <v>4489802</v>
      </c>
      <c r="DK7" s="31">
        <v>2614065</v>
      </c>
      <c r="DL7" s="31">
        <v>2872943</v>
      </c>
      <c r="DM7" s="31">
        <v>2602504</v>
      </c>
      <c r="DN7" s="31">
        <v>2076748</v>
      </c>
      <c r="DO7" s="31">
        <v>2107961</v>
      </c>
      <c r="DP7" s="31">
        <v>2656523</v>
      </c>
      <c r="DQ7" s="31">
        <v>2867699</v>
      </c>
      <c r="DR7" s="31">
        <v>2639815</v>
      </c>
      <c r="DS7" s="31">
        <v>2051273</v>
      </c>
      <c r="DT7" s="31">
        <v>2839717</v>
      </c>
      <c r="DU7" s="31">
        <v>2582457</v>
      </c>
      <c r="DV7" s="31">
        <v>2121085</v>
      </c>
      <c r="DW7" s="31">
        <v>2344343</v>
      </c>
      <c r="DX7" s="31">
        <v>2064537</v>
      </c>
      <c r="DY7" s="31">
        <v>2819996</v>
      </c>
      <c r="DZ7" s="31">
        <v>2766868</v>
      </c>
      <c r="EA7" s="31">
        <v>2546434</v>
      </c>
      <c r="EB7" s="31">
        <v>2608758</v>
      </c>
      <c r="EC7" s="31">
        <v>2787318</v>
      </c>
      <c r="ED7" s="31">
        <v>5017386</v>
      </c>
      <c r="EE7" s="31">
        <v>9070664</v>
      </c>
      <c r="EF7" s="31">
        <v>2661128</v>
      </c>
      <c r="EG7" s="31">
        <v>2829541</v>
      </c>
      <c r="EH7" s="31">
        <v>2718375</v>
      </c>
      <c r="EI7" s="31">
        <v>2041391</v>
      </c>
      <c r="EJ7" s="32">
        <v>2549204</v>
      </c>
      <c r="EK7" s="32">
        <v>2881934</v>
      </c>
      <c r="EL7" s="32">
        <v>2019086</v>
      </c>
      <c r="EM7" s="32">
        <v>2872722</v>
      </c>
      <c r="EN7" s="32">
        <v>2548747</v>
      </c>
      <c r="EO7" s="32">
        <v>2786184</v>
      </c>
      <c r="EP7" s="32">
        <v>2641984</v>
      </c>
      <c r="EQ7" s="32">
        <v>2097109</v>
      </c>
      <c r="ER7" s="32">
        <v>2587025</v>
      </c>
      <c r="ES7" s="32">
        <v>2837196</v>
      </c>
      <c r="ET7" s="32">
        <v>2030624</v>
      </c>
      <c r="EU7" s="32">
        <v>2800497</v>
      </c>
      <c r="EV7" s="32">
        <v>2556154</v>
      </c>
      <c r="EW7" s="32">
        <v>2784904</v>
      </c>
      <c r="EX7" s="32">
        <v>2618621</v>
      </c>
      <c r="EY7" s="32">
        <v>2050374</v>
      </c>
      <c r="EZ7" s="32">
        <v>2884259</v>
      </c>
      <c r="FA7" s="32">
        <v>2072947</v>
      </c>
      <c r="FB7" s="32">
        <v>2770601</v>
      </c>
      <c r="FC7" s="32">
        <v>2830213</v>
      </c>
      <c r="FD7" s="32">
        <v>2053152</v>
      </c>
      <c r="FE7" s="32"/>
      <c r="FF7" s="32">
        <v>2649098</v>
      </c>
      <c r="FG7" s="32">
        <v>5058295</v>
      </c>
      <c r="FH7" s="32">
        <v>2834421</v>
      </c>
      <c r="FI7" s="32">
        <v>5069068</v>
      </c>
      <c r="FJ7" s="32">
        <v>2121174</v>
      </c>
      <c r="FK7" s="32">
        <v>2655772</v>
      </c>
      <c r="FL7" s="32">
        <v>2654806</v>
      </c>
      <c r="FM7" s="32">
        <v>2027194</v>
      </c>
      <c r="FN7" s="32">
        <v>2604469</v>
      </c>
      <c r="FO7" s="32">
        <v>2572036</v>
      </c>
      <c r="FP7" s="32">
        <v>2569477</v>
      </c>
      <c r="FQ7" s="32">
        <v>2075385</v>
      </c>
      <c r="FR7" s="32">
        <v>2016656</v>
      </c>
      <c r="FS7" s="32">
        <v>2073358</v>
      </c>
      <c r="FT7" s="32">
        <v>2697947</v>
      </c>
      <c r="FU7" s="32">
        <v>2788691</v>
      </c>
      <c r="FV7" s="32">
        <v>2011239</v>
      </c>
      <c r="FW7" s="32">
        <v>2019205</v>
      </c>
      <c r="FX7" s="32">
        <v>2004879</v>
      </c>
      <c r="FY7" s="32">
        <v>2787989</v>
      </c>
      <c r="FZ7" s="32">
        <v>2889439</v>
      </c>
      <c r="GA7" s="32">
        <v>2807459</v>
      </c>
      <c r="GB7" s="32">
        <v>2874229</v>
      </c>
      <c r="GC7" s="32">
        <v>2867095</v>
      </c>
      <c r="GD7" s="32">
        <v>2766337</v>
      </c>
      <c r="GE7" s="32">
        <v>2597977</v>
      </c>
      <c r="GF7" s="32">
        <v>2707969</v>
      </c>
      <c r="GG7" s="32">
        <v>5153379</v>
      </c>
      <c r="GH7" s="32">
        <v>5029953</v>
      </c>
      <c r="GI7" s="32">
        <v>5095549</v>
      </c>
      <c r="GJ7" s="32">
        <v>2857502</v>
      </c>
      <c r="GK7" s="32">
        <v>4246195</v>
      </c>
      <c r="GL7" s="32">
        <v>2825422</v>
      </c>
      <c r="GM7" s="32">
        <v>2683385</v>
      </c>
      <c r="GN7" s="32">
        <v>2842815</v>
      </c>
      <c r="GO7" s="32">
        <v>5022398</v>
      </c>
      <c r="GP7" s="32">
        <v>5170966</v>
      </c>
      <c r="GQ7" s="32">
        <v>2063182</v>
      </c>
      <c r="GR7" s="32">
        <v>2834812</v>
      </c>
      <c r="GS7" s="32">
        <v>5122392</v>
      </c>
      <c r="GT7" s="32">
        <v>5098009</v>
      </c>
      <c r="GU7" s="32">
        <v>2885425</v>
      </c>
      <c r="GV7" s="32">
        <v>2046342</v>
      </c>
      <c r="GW7" s="32">
        <v>5309808</v>
      </c>
      <c r="GX7" s="32">
        <v>5194482</v>
      </c>
      <c r="GY7" s="32">
        <v>2668548</v>
      </c>
      <c r="GZ7" s="32">
        <v>5215757</v>
      </c>
      <c r="HA7" s="32">
        <v>2663058</v>
      </c>
      <c r="HB7" s="32">
        <v>2087472</v>
      </c>
      <c r="HC7" s="32">
        <v>2700115</v>
      </c>
      <c r="HD7" s="32">
        <v>5158508</v>
      </c>
      <c r="HE7" s="32">
        <v>5109884</v>
      </c>
      <c r="HF7" s="32">
        <v>2670704</v>
      </c>
      <c r="HG7" s="32">
        <v>5203333</v>
      </c>
      <c r="HH7" s="32">
        <v>3550443</v>
      </c>
      <c r="HI7" s="32">
        <v>2595818</v>
      </c>
      <c r="HJ7" s="32">
        <v>2784262</v>
      </c>
      <c r="HK7" s="32">
        <v>2663341</v>
      </c>
      <c r="HL7" s="32">
        <v>2698161</v>
      </c>
      <c r="HM7" s="32">
        <v>5127998</v>
      </c>
      <c r="HN7" s="32">
        <v>2685841</v>
      </c>
      <c r="HO7" s="32">
        <v>5229634</v>
      </c>
      <c r="HP7" s="32">
        <v>5048486</v>
      </c>
      <c r="HQ7" s="32">
        <v>2839121</v>
      </c>
      <c r="HR7" s="32">
        <v>9173609</v>
      </c>
      <c r="HS7" s="32">
        <v>2768607</v>
      </c>
      <c r="HT7" s="32">
        <v>2503182</v>
      </c>
      <c r="HU7" s="32">
        <v>2044838</v>
      </c>
      <c r="HV7" s="32">
        <v>5233232</v>
      </c>
      <c r="HW7" s="32">
        <v>2762706</v>
      </c>
      <c r="HX7" s="32">
        <v>5229049</v>
      </c>
      <c r="HY7" s="32">
        <v>5097711</v>
      </c>
      <c r="HZ7" s="32">
        <v>2066505</v>
      </c>
      <c r="IA7" s="32">
        <v>2782944</v>
      </c>
      <c r="IB7" s="32">
        <v>5099005</v>
      </c>
      <c r="IC7" s="32">
        <v>2763834</v>
      </c>
      <c r="ID7" s="32">
        <v>2659603</v>
      </c>
      <c r="IE7" s="32">
        <v>2640287</v>
      </c>
      <c r="IF7" s="32">
        <v>5149703</v>
      </c>
      <c r="IG7" s="32">
        <v>5155827</v>
      </c>
      <c r="IH7" s="32">
        <v>2878216</v>
      </c>
      <c r="II7" s="32">
        <v>5018056</v>
      </c>
      <c r="IJ7" s="32">
        <v>2099535</v>
      </c>
      <c r="IK7" s="32">
        <v>5157846</v>
      </c>
      <c r="IL7" s="32">
        <v>5116635</v>
      </c>
      <c r="IM7" s="32">
        <v>2573253</v>
      </c>
      <c r="IN7" s="32">
        <v>2739739</v>
      </c>
      <c r="IO7" s="32">
        <v>5073642</v>
      </c>
      <c r="IP7" s="32">
        <v>2868687</v>
      </c>
      <c r="IQ7" s="32">
        <v>2890658</v>
      </c>
      <c r="IR7" s="32">
        <v>2555468</v>
      </c>
      <c r="IS7" s="32">
        <v>5084512</v>
      </c>
      <c r="IT7" s="32">
        <v>2631717</v>
      </c>
      <c r="IU7" s="32">
        <v>2779633</v>
      </c>
      <c r="IV7" s="32">
        <v>2847558</v>
      </c>
      <c r="IW7" s="32">
        <v>5231337</v>
      </c>
      <c r="IX7" s="32">
        <v>2816687</v>
      </c>
      <c r="IY7" s="32">
        <v>2607115</v>
      </c>
      <c r="IZ7" s="32">
        <v>5148278</v>
      </c>
      <c r="JA7" s="32">
        <v>2852861</v>
      </c>
      <c r="JB7" s="32">
        <v>5162629</v>
      </c>
      <c r="JC7" s="32">
        <v>5144663</v>
      </c>
      <c r="JD7" s="32">
        <v>2870312</v>
      </c>
      <c r="JE7" s="32"/>
      <c r="JF7" s="32">
        <v>2110903</v>
      </c>
      <c r="JG7" s="32">
        <v>2534169</v>
      </c>
      <c r="JH7" s="32">
        <v>5174562</v>
      </c>
      <c r="JI7" s="32">
        <v>5098181</v>
      </c>
      <c r="JJ7" s="32">
        <v>2099551</v>
      </c>
      <c r="JK7" s="32">
        <v>5149843</v>
      </c>
      <c r="JL7" s="32">
        <v>3122212</v>
      </c>
      <c r="JM7" s="32">
        <v>2874482</v>
      </c>
      <c r="JN7" s="32">
        <v>2708701</v>
      </c>
      <c r="JO7" s="32">
        <v>5023998</v>
      </c>
      <c r="JP7" s="32"/>
      <c r="JQ7" s="32">
        <v>5099854</v>
      </c>
      <c r="JR7" s="32"/>
      <c r="JS7" s="32">
        <v>5271215</v>
      </c>
      <c r="JT7" s="32">
        <v>2878992</v>
      </c>
      <c r="JU7" s="32">
        <v>5091462</v>
      </c>
      <c r="JV7" s="32">
        <v>5025982</v>
      </c>
      <c r="JW7" s="32">
        <v>2075652</v>
      </c>
      <c r="JX7" s="32"/>
      <c r="JY7" s="32">
        <v>2840391</v>
      </c>
      <c r="JZ7" s="32">
        <v>2024128</v>
      </c>
      <c r="KA7" s="32">
        <v>2813041</v>
      </c>
      <c r="KB7" s="32">
        <v>2008726</v>
      </c>
      <c r="KC7" s="32">
        <v>2578778</v>
      </c>
      <c r="KD7" s="32">
        <v>5131618</v>
      </c>
      <c r="KE7" s="32"/>
      <c r="KF7" s="32">
        <v>5089417</v>
      </c>
      <c r="KG7" s="32">
        <v>2670801</v>
      </c>
      <c r="KH7" s="32">
        <v>2587637</v>
      </c>
      <c r="KI7" s="32">
        <v>2868679</v>
      </c>
      <c r="KJ7" s="32">
        <v>2701561</v>
      </c>
      <c r="KK7" s="32">
        <v>5135958</v>
      </c>
      <c r="KL7" s="32">
        <v>2629224</v>
      </c>
      <c r="KM7" s="32">
        <v>5073189</v>
      </c>
      <c r="KN7" s="32">
        <v>2723344</v>
      </c>
      <c r="KO7" s="32">
        <v>5239168</v>
      </c>
      <c r="KP7" s="32">
        <v>2825627</v>
      </c>
      <c r="KQ7" s="32">
        <v>2649047</v>
      </c>
      <c r="KR7" s="32">
        <v>2688638</v>
      </c>
      <c r="KS7" s="32">
        <v>2851326</v>
      </c>
      <c r="KT7" s="32">
        <v>2695421</v>
      </c>
      <c r="KU7" s="32">
        <v>2880822</v>
      </c>
      <c r="KV7" s="32">
        <v>2074982</v>
      </c>
      <c r="KW7" s="32">
        <v>5141583</v>
      </c>
      <c r="KX7" s="32">
        <v>2808226</v>
      </c>
      <c r="KY7" s="32"/>
      <c r="KZ7" s="32"/>
      <c r="LA7" s="32">
        <v>5239303</v>
      </c>
      <c r="LB7" s="32">
        <v>5166284</v>
      </c>
      <c r="LC7" s="32">
        <v>5119499</v>
      </c>
      <c r="LD7" s="32">
        <v>2070731</v>
      </c>
      <c r="LE7" s="32">
        <v>2640872</v>
      </c>
      <c r="LF7" s="32">
        <v>5084555</v>
      </c>
      <c r="LG7" s="32">
        <v>2108291</v>
      </c>
      <c r="LH7" s="32">
        <v>5124778</v>
      </c>
      <c r="LI7" s="32">
        <v>5021065</v>
      </c>
      <c r="LJ7" s="32">
        <v>2614529</v>
      </c>
      <c r="LK7" s="32">
        <v>5295858</v>
      </c>
      <c r="LL7" s="32">
        <v>2596903</v>
      </c>
      <c r="LM7" s="32">
        <v>5148014</v>
      </c>
      <c r="LN7" s="32">
        <v>2045052</v>
      </c>
      <c r="LO7" s="32">
        <v>2708574</v>
      </c>
      <c r="LP7" s="32">
        <v>2856743</v>
      </c>
      <c r="LQ7" s="32">
        <v>2716682</v>
      </c>
      <c r="LR7" s="32">
        <v>2001454</v>
      </c>
      <c r="LS7" s="32">
        <v>2595567</v>
      </c>
      <c r="LT7" s="32">
        <v>5061989</v>
      </c>
      <c r="LU7" s="32">
        <v>5029066</v>
      </c>
      <c r="LV7" s="32">
        <v>2577453</v>
      </c>
      <c r="LW7" s="32">
        <v>2100231</v>
      </c>
      <c r="LX7" s="32">
        <v>2662647</v>
      </c>
      <c r="LY7" s="32">
        <v>2549832</v>
      </c>
      <c r="LZ7" s="32">
        <v>5157153</v>
      </c>
      <c r="MA7" s="32">
        <v>2498103</v>
      </c>
      <c r="MB7" s="32">
        <v>2573245</v>
      </c>
      <c r="MC7" s="32">
        <v>5090822</v>
      </c>
      <c r="MD7" s="32">
        <v>2881217</v>
      </c>
      <c r="ME7" s="32">
        <v>2009765</v>
      </c>
      <c r="MF7" s="32">
        <v>2605031</v>
      </c>
      <c r="MG7" s="32">
        <v>3550125</v>
      </c>
      <c r="MH7" s="32">
        <v>2850664</v>
      </c>
      <c r="MI7" s="32">
        <v>2740451</v>
      </c>
      <c r="MJ7" s="32">
        <v>2074478</v>
      </c>
      <c r="MK7" s="32">
        <v>2776804</v>
      </c>
      <c r="ML7" s="32">
        <v>2887746</v>
      </c>
      <c r="MM7" s="32">
        <v>2661861</v>
      </c>
      <c r="MN7" s="32">
        <v>2786893</v>
      </c>
      <c r="MO7" s="32">
        <v>2874725</v>
      </c>
      <c r="MP7" s="32">
        <v>2876965</v>
      </c>
      <c r="MQ7" s="32">
        <v>2718243</v>
      </c>
      <c r="MR7" s="32">
        <v>5074495</v>
      </c>
      <c r="MS7" s="32">
        <v>2617455</v>
      </c>
      <c r="MT7" s="32">
        <v>2025752</v>
      </c>
      <c r="MU7" s="32">
        <v>2086344</v>
      </c>
      <c r="MV7" s="32">
        <v>5184851</v>
      </c>
      <c r="MW7" s="32">
        <v>5179335</v>
      </c>
      <c r="MX7" s="33"/>
      <c r="MY7" s="33"/>
      <c r="MZ7" s="4"/>
      <c r="NA7" s="4"/>
    </row>
    <row r="8" spans="1:365" ht="10.5" hidden="1" customHeight="1" x14ac:dyDescent="0.2">
      <c r="A8" s="98" t="s">
        <v>43</v>
      </c>
      <c r="B8" s="99"/>
      <c r="C8" s="100"/>
      <c r="D8" s="34" t="s">
        <v>55</v>
      </c>
      <c r="E8" s="34" t="s">
        <v>56</v>
      </c>
      <c r="F8" s="34" t="s">
        <v>57</v>
      </c>
      <c r="G8" s="34" t="s">
        <v>58</v>
      </c>
      <c r="H8" s="35" t="s">
        <v>59</v>
      </c>
      <c r="I8" s="34" t="s">
        <v>60</v>
      </c>
      <c r="J8" s="34" t="s">
        <v>61</v>
      </c>
      <c r="K8" s="34" t="s">
        <v>217</v>
      </c>
      <c r="L8" s="34" t="s">
        <v>63</v>
      </c>
      <c r="M8" s="34" t="s">
        <v>64</v>
      </c>
      <c r="N8" s="34" t="s">
        <v>65</v>
      </c>
      <c r="O8" s="34" t="s">
        <v>66</v>
      </c>
      <c r="P8" s="34" t="s">
        <v>67</v>
      </c>
      <c r="Q8" s="34" t="s">
        <v>68</v>
      </c>
      <c r="R8" s="34" t="s">
        <v>69</v>
      </c>
      <c r="S8" s="36" t="s">
        <v>70</v>
      </c>
      <c r="T8" s="37" t="s">
        <v>71</v>
      </c>
      <c r="U8" s="36" t="s">
        <v>72</v>
      </c>
      <c r="V8" s="34" t="s">
        <v>73</v>
      </c>
      <c r="W8" s="34" t="s">
        <v>74</v>
      </c>
      <c r="X8" s="34" t="s">
        <v>227</v>
      </c>
      <c r="Y8" s="34" t="s">
        <v>228</v>
      </c>
      <c r="Z8" s="34" t="s">
        <v>75</v>
      </c>
      <c r="AA8" s="34" t="s">
        <v>76</v>
      </c>
      <c r="AB8" s="34" t="s">
        <v>77</v>
      </c>
      <c r="AC8" s="38" t="s">
        <v>78</v>
      </c>
      <c r="AD8" s="34" t="s">
        <v>79</v>
      </c>
      <c r="AE8" s="36" t="s">
        <v>80</v>
      </c>
      <c r="AF8" s="38" t="s">
        <v>81</v>
      </c>
      <c r="AG8" s="34" t="s">
        <v>82</v>
      </c>
      <c r="AH8" s="34" t="s">
        <v>83</v>
      </c>
      <c r="AI8" s="34" t="s">
        <v>84</v>
      </c>
      <c r="AJ8" s="36" t="s">
        <v>85</v>
      </c>
      <c r="AK8" s="34" t="s">
        <v>86</v>
      </c>
      <c r="AL8" s="34" t="s">
        <v>87</v>
      </c>
      <c r="AM8" s="34" t="s">
        <v>88</v>
      </c>
      <c r="AN8" s="34" t="s">
        <v>89</v>
      </c>
      <c r="AO8" s="34" t="s">
        <v>90</v>
      </c>
      <c r="AP8" s="34" t="s">
        <v>91</v>
      </c>
      <c r="AQ8" s="34" t="s">
        <v>92</v>
      </c>
      <c r="AR8" s="36" t="s">
        <v>93</v>
      </c>
      <c r="AS8" s="34" t="s">
        <v>94</v>
      </c>
      <c r="AT8" s="34" t="s">
        <v>95</v>
      </c>
      <c r="AU8" s="34" t="s">
        <v>96</v>
      </c>
      <c r="AV8" s="34" t="s">
        <v>97</v>
      </c>
      <c r="AW8" s="34" t="s">
        <v>98</v>
      </c>
      <c r="AX8" s="34" t="s">
        <v>99</v>
      </c>
      <c r="AY8" s="34" t="s">
        <v>100</v>
      </c>
      <c r="AZ8" s="34" t="s">
        <v>101</v>
      </c>
      <c r="BA8" s="34" t="s">
        <v>102</v>
      </c>
      <c r="BB8" s="34" t="s">
        <v>103</v>
      </c>
      <c r="BC8" s="34" t="s">
        <v>104</v>
      </c>
      <c r="BD8" s="34" t="s">
        <v>251</v>
      </c>
      <c r="BE8" s="34" t="s">
        <v>105</v>
      </c>
      <c r="BF8" s="34" t="s">
        <v>106</v>
      </c>
      <c r="BG8" s="34" t="s">
        <v>107</v>
      </c>
      <c r="BH8" s="34" t="s">
        <v>108</v>
      </c>
      <c r="BI8" s="34" t="s">
        <v>109</v>
      </c>
      <c r="BJ8" s="34" t="s">
        <v>110</v>
      </c>
      <c r="BK8" s="34" t="s">
        <v>111</v>
      </c>
      <c r="BL8" s="34" t="s">
        <v>112</v>
      </c>
      <c r="BM8" s="39" t="s">
        <v>113</v>
      </c>
      <c r="BN8" s="34" t="s">
        <v>114</v>
      </c>
      <c r="BO8" s="34" t="s">
        <v>115</v>
      </c>
      <c r="BP8" s="34" t="s">
        <v>116</v>
      </c>
      <c r="BQ8" s="34" t="s">
        <v>117</v>
      </c>
      <c r="BR8" s="34" t="s">
        <v>118</v>
      </c>
      <c r="BS8" s="34" t="s">
        <v>119</v>
      </c>
      <c r="BT8" s="34" t="s">
        <v>120</v>
      </c>
      <c r="BU8" s="34" t="s">
        <v>121</v>
      </c>
      <c r="BV8" s="35" t="s">
        <v>122</v>
      </c>
      <c r="BW8" s="34" t="s">
        <v>123</v>
      </c>
      <c r="BX8" s="34" t="s">
        <v>124</v>
      </c>
      <c r="BY8" s="34" t="s">
        <v>125</v>
      </c>
      <c r="BZ8" s="34" t="s">
        <v>126</v>
      </c>
      <c r="CA8" s="34" t="s">
        <v>127</v>
      </c>
      <c r="CB8" s="35" t="s">
        <v>128</v>
      </c>
      <c r="CC8" s="34" t="s">
        <v>129</v>
      </c>
      <c r="CD8" s="34" t="s">
        <v>130</v>
      </c>
      <c r="CE8" s="34" t="s">
        <v>131</v>
      </c>
      <c r="CF8" s="34" t="s">
        <v>132</v>
      </c>
      <c r="CG8" s="34" t="s">
        <v>133</v>
      </c>
      <c r="CH8" s="34" t="s">
        <v>134</v>
      </c>
      <c r="CI8" s="34" t="s">
        <v>135</v>
      </c>
      <c r="CJ8" s="34" t="s">
        <v>136</v>
      </c>
      <c r="CK8" s="34" t="s">
        <v>137</v>
      </c>
      <c r="CL8" s="34" t="s">
        <v>138</v>
      </c>
      <c r="CM8" s="34" t="s">
        <v>139</v>
      </c>
      <c r="CN8" s="34" t="s">
        <v>140</v>
      </c>
      <c r="CO8" s="34" t="s">
        <v>62</v>
      </c>
      <c r="CP8" s="34" t="s">
        <v>141</v>
      </c>
      <c r="CQ8" s="34" t="s">
        <v>142</v>
      </c>
      <c r="CR8" s="34" t="s">
        <v>143</v>
      </c>
      <c r="CS8" s="34" t="s">
        <v>144</v>
      </c>
      <c r="CT8" s="34" t="s">
        <v>145</v>
      </c>
      <c r="CU8" s="34" t="s">
        <v>146</v>
      </c>
      <c r="CV8" s="34" t="s">
        <v>147</v>
      </c>
      <c r="CW8" s="34" t="s">
        <v>148</v>
      </c>
      <c r="CX8" s="34" t="s">
        <v>149</v>
      </c>
      <c r="CY8" s="34" t="s">
        <v>150</v>
      </c>
      <c r="CZ8" s="34" t="s">
        <v>151</v>
      </c>
      <c r="DA8" s="34" t="s">
        <v>152</v>
      </c>
      <c r="DB8" s="34" t="s">
        <v>153</v>
      </c>
      <c r="DC8" s="34" t="s">
        <v>154</v>
      </c>
      <c r="DD8" s="34" t="s">
        <v>250</v>
      </c>
      <c r="DE8" s="34" t="s">
        <v>155</v>
      </c>
      <c r="DF8" s="34" t="s">
        <v>156</v>
      </c>
      <c r="DG8" s="34" t="s">
        <v>157</v>
      </c>
      <c r="DH8" s="34" t="s">
        <v>158</v>
      </c>
      <c r="DI8" s="34" t="s">
        <v>159</v>
      </c>
      <c r="DJ8" s="34" t="s">
        <v>269</v>
      </c>
      <c r="DK8" s="34" t="s">
        <v>160</v>
      </c>
      <c r="DL8" s="34" t="s">
        <v>161</v>
      </c>
      <c r="DM8" s="34" t="s">
        <v>162</v>
      </c>
      <c r="DN8" s="34" t="s">
        <v>163</v>
      </c>
      <c r="DO8" s="34" t="s">
        <v>164</v>
      </c>
      <c r="DP8" s="34" t="s">
        <v>165</v>
      </c>
      <c r="DQ8" s="34" t="s">
        <v>166</v>
      </c>
      <c r="DR8" s="34" t="s">
        <v>167</v>
      </c>
      <c r="DS8" s="34" t="s">
        <v>168</v>
      </c>
      <c r="DT8" s="34" t="s">
        <v>169</v>
      </c>
      <c r="DU8" s="34" t="s">
        <v>170</v>
      </c>
      <c r="DV8" s="34" t="s">
        <v>171</v>
      </c>
      <c r="DW8" s="34" t="s">
        <v>172</v>
      </c>
      <c r="DX8" s="34" t="s">
        <v>173</v>
      </c>
      <c r="DY8" s="34" t="s">
        <v>174</v>
      </c>
      <c r="DZ8" s="34" t="s">
        <v>175</v>
      </c>
      <c r="EA8" s="34" t="s">
        <v>176</v>
      </c>
      <c r="EB8" s="34" t="s">
        <v>177</v>
      </c>
      <c r="EC8" s="34" t="s">
        <v>178</v>
      </c>
      <c r="ED8" s="34" t="s">
        <v>179</v>
      </c>
      <c r="EE8" s="34" t="s">
        <v>180</v>
      </c>
      <c r="EF8" s="34" t="s">
        <v>181</v>
      </c>
      <c r="EG8" s="34" t="s">
        <v>182</v>
      </c>
      <c r="EH8" s="34" t="s">
        <v>183</v>
      </c>
      <c r="EI8" s="34" t="s">
        <v>184</v>
      </c>
      <c r="EJ8" s="40" t="s">
        <v>185</v>
      </c>
      <c r="EK8" s="40" t="s">
        <v>186</v>
      </c>
      <c r="EL8" s="40" t="s">
        <v>187</v>
      </c>
      <c r="EM8" s="40" t="s">
        <v>188</v>
      </c>
      <c r="EN8" s="36" t="s">
        <v>189</v>
      </c>
      <c r="EO8" s="40" t="s">
        <v>190</v>
      </c>
      <c r="EP8" s="36" t="s">
        <v>191</v>
      </c>
      <c r="EQ8" s="40" t="s">
        <v>192</v>
      </c>
      <c r="ER8" s="40" t="s">
        <v>193</v>
      </c>
      <c r="ES8" s="40" t="s">
        <v>194</v>
      </c>
      <c r="ET8" s="36" t="s">
        <v>195</v>
      </c>
      <c r="EU8" s="36" t="s">
        <v>196</v>
      </c>
      <c r="EV8" s="40" t="s">
        <v>197</v>
      </c>
      <c r="EW8" s="40" t="s">
        <v>198</v>
      </c>
      <c r="EX8" s="40" t="s">
        <v>199</v>
      </c>
      <c r="EY8" s="40" t="s">
        <v>200</v>
      </c>
      <c r="EZ8" s="40" t="s">
        <v>201</v>
      </c>
      <c r="FA8" s="40" t="s">
        <v>202</v>
      </c>
      <c r="FB8" s="36" t="s">
        <v>203</v>
      </c>
      <c r="FC8" s="40" t="s">
        <v>204</v>
      </c>
      <c r="FD8" s="40" t="s">
        <v>205</v>
      </c>
      <c r="FE8" s="36" t="s">
        <v>252</v>
      </c>
      <c r="FF8" s="40" t="s">
        <v>206</v>
      </c>
      <c r="FG8" s="40" t="s">
        <v>207</v>
      </c>
      <c r="FH8" s="40" t="s">
        <v>208</v>
      </c>
      <c r="FI8" s="40" t="s">
        <v>209</v>
      </c>
      <c r="FJ8" s="40" t="s">
        <v>210</v>
      </c>
      <c r="FK8" s="36" t="s">
        <v>211</v>
      </c>
      <c r="FL8" s="36" t="s">
        <v>212</v>
      </c>
      <c r="FM8" s="40" t="s">
        <v>213</v>
      </c>
      <c r="FN8" s="40" t="s">
        <v>214</v>
      </c>
      <c r="FO8" s="40" t="s">
        <v>215</v>
      </c>
      <c r="FP8" s="36" t="s">
        <v>216</v>
      </c>
      <c r="FQ8" s="38" t="s">
        <v>254</v>
      </c>
      <c r="FR8" s="36" t="s">
        <v>469</v>
      </c>
      <c r="FS8" s="36" t="s">
        <v>255</v>
      </c>
      <c r="FT8" s="36" t="s">
        <v>268</v>
      </c>
      <c r="FU8" s="36" t="s">
        <v>256</v>
      </c>
      <c r="FV8" s="36" t="s">
        <v>257</v>
      </c>
      <c r="FW8" s="36" t="s">
        <v>258</v>
      </c>
      <c r="FX8" s="36" t="s">
        <v>259</v>
      </c>
      <c r="FY8" s="36" t="s">
        <v>260</v>
      </c>
      <c r="FZ8" s="36" t="s">
        <v>261</v>
      </c>
      <c r="GA8" s="36" t="s">
        <v>262</v>
      </c>
      <c r="GB8" s="36" t="s">
        <v>263</v>
      </c>
      <c r="GC8" s="36" t="s">
        <v>264</v>
      </c>
      <c r="GD8" s="36" t="s">
        <v>265</v>
      </c>
      <c r="GE8" s="36" t="s">
        <v>271</v>
      </c>
      <c r="GF8" s="36" t="s">
        <v>272</v>
      </c>
      <c r="GG8" s="36" t="s">
        <v>274</v>
      </c>
      <c r="GH8" s="36" t="s">
        <v>276</v>
      </c>
      <c r="GI8" s="36" t="s">
        <v>277</v>
      </c>
      <c r="GJ8" s="36" t="s">
        <v>467</v>
      </c>
      <c r="GK8" s="36" t="s">
        <v>279</v>
      </c>
      <c r="GL8" s="36" t="s">
        <v>281</v>
      </c>
      <c r="GM8" s="36" t="s">
        <v>283</v>
      </c>
      <c r="GN8" s="36" t="s">
        <v>285</v>
      </c>
      <c r="GO8" s="36" t="s">
        <v>286</v>
      </c>
      <c r="GP8" s="36" t="s">
        <v>288</v>
      </c>
      <c r="GQ8" s="36" t="s">
        <v>289</v>
      </c>
      <c r="GR8" s="36" t="s">
        <v>291</v>
      </c>
      <c r="GS8" s="36" t="s">
        <v>292</v>
      </c>
      <c r="GT8" s="36" t="s">
        <v>294</v>
      </c>
      <c r="GU8" s="36" t="s">
        <v>304</v>
      </c>
      <c r="GV8" s="36" t="s">
        <v>305</v>
      </c>
      <c r="GW8" s="36" t="s">
        <v>306</v>
      </c>
      <c r="GX8" s="36" t="s">
        <v>307</v>
      </c>
      <c r="GY8" s="36" t="s">
        <v>308</v>
      </c>
      <c r="GZ8" s="36" t="s">
        <v>309</v>
      </c>
      <c r="HA8" s="36" t="s">
        <v>311</v>
      </c>
      <c r="HB8" s="36" t="s">
        <v>313</v>
      </c>
      <c r="HC8" s="36" t="s">
        <v>314</v>
      </c>
      <c r="HD8" s="36" t="s">
        <v>316</v>
      </c>
      <c r="HE8" s="36" t="s">
        <v>317</v>
      </c>
      <c r="HF8" s="36" t="s">
        <v>318</v>
      </c>
      <c r="HG8" s="36" t="s">
        <v>319</v>
      </c>
      <c r="HH8" s="36" t="s">
        <v>320</v>
      </c>
      <c r="HI8" s="36" t="s">
        <v>322</v>
      </c>
      <c r="HJ8" s="36" t="s">
        <v>323</v>
      </c>
      <c r="HK8" s="36" t="s">
        <v>324</v>
      </c>
      <c r="HL8" s="36" t="s">
        <v>325</v>
      </c>
      <c r="HM8" s="36" t="s">
        <v>326</v>
      </c>
      <c r="HN8" s="36" t="s">
        <v>327</v>
      </c>
      <c r="HO8" s="36" t="s">
        <v>328</v>
      </c>
      <c r="HP8" s="36" t="s">
        <v>330</v>
      </c>
      <c r="HQ8" s="36" t="s">
        <v>331</v>
      </c>
      <c r="HR8" s="36" t="s">
        <v>333</v>
      </c>
      <c r="HS8" s="36" t="s">
        <v>335</v>
      </c>
      <c r="HT8" s="36" t="s">
        <v>336</v>
      </c>
      <c r="HU8" s="36" t="s">
        <v>337</v>
      </c>
      <c r="HV8" s="36" t="s">
        <v>338</v>
      </c>
      <c r="HW8" s="36" t="s">
        <v>339</v>
      </c>
      <c r="HX8" s="36" t="s">
        <v>340</v>
      </c>
      <c r="HY8" s="36" t="s">
        <v>341</v>
      </c>
      <c r="HZ8" s="36" t="s">
        <v>342</v>
      </c>
      <c r="IA8" s="36" t="s">
        <v>343</v>
      </c>
      <c r="IB8" s="36" t="s">
        <v>344</v>
      </c>
      <c r="IC8" s="36" t="s">
        <v>345</v>
      </c>
      <c r="ID8" s="36" t="s">
        <v>346</v>
      </c>
      <c r="IE8" s="36" t="s">
        <v>465</v>
      </c>
      <c r="IF8" s="36" t="s">
        <v>347</v>
      </c>
      <c r="IG8" s="36" t="s">
        <v>348</v>
      </c>
      <c r="IH8" s="36" t="s">
        <v>349</v>
      </c>
      <c r="II8" s="36" t="s">
        <v>350</v>
      </c>
      <c r="IJ8" s="36" t="s">
        <v>351</v>
      </c>
      <c r="IK8" s="36" t="s">
        <v>352</v>
      </c>
      <c r="IL8" s="36" t="s">
        <v>353</v>
      </c>
      <c r="IM8" s="36" t="s">
        <v>354</v>
      </c>
      <c r="IN8" s="36" t="s">
        <v>355</v>
      </c>
      <c r="IO8" s="36" t="s">
        <v>356</v>
      </c>
      <c r="IP8" s="36" t="s">
        <v>357</v>
      </c>
      <c r="IQ8" s="36" t="s">
        <v>358</v>
      </c>
      <c r="IR8" s="36" t="s">
        <v>359</v>
      </c>
      <c r="IS8" s="36" t="s">
        <v>360</v>
      </c>
      <c r="IT8" s="36" t="s">
        <v>361</v>
      </c>
      <c r="IU8" s="36" t="s">
        <v>362</v>
      </c>
      <c r="IV8" s="36" t="s">
        <v>363</v>
      </c>
      <c r="IW8" s="36" t="s">
        <v>364</v>
      </c>
      <c r="IX8" s="36" t="s">
        <v>365</v>
      </c>
      <c r="IY8" s="36" t="s">
        <v>366</v>
      </c>
      <c r="IZ8" s="36" t="s">
        <v>367</v>
      </c>
      <c r="JA8" s="36" t="s">
        <v>368</v>
      </c>
      <c r="JB8" s="36" t="s">
        <v>369</v>
      </c>
      <c r="JC8" s="36" t="s">
        <v>370</v>
      </c>
      <c r="JD8" s="36" t="s">
        <v>371</v>
      </c>
      <c r="JE8" s="36" t="s">
        <v>372</v>
      </c>
      <c r="JF8" s="36" t="s">
        <v>373</v>
      </c>
      <c r="JG8" s="36" t="s">
        <v>374</v>
      </c>
      <c r="JH8" s="36" t="s">
        <v>376</v>
      </c>
      <c r="JI8" s="36" t="s">
        <v>375</v>
      </c>
      <c r="JJ8" s="36" t="s">
        <v>296</v>
      </c>
      <c r="JK8" s="36" t="s">
        <v>297</v>
      </c>
      <c r="JL8" s="36" t="s">
        <v>377</v>
      </c>
      <c r="JM8" s="36" t="s">
        <v>298</v>
      </c>
      <c r="JN8" s="36" t="s">
        <v>299</v>
      </c>
      <c r="JO8" s="36" t="s">
        <v>300</v>
      </c>
      <c r="JP8" s="36" t="s">
        <v>378</v>
      </c>
      <c r="JQ8" s="36" t="s">
        <v>301</v>
      </c>
      <c r="JR8" s="36" t="s">
        <v>379</v>
      </c>
      <c r="JS8" s="36" t="s">
        <v>380</v>
      </c>
      <c r="JT8" s="36" t="s">
        <v>381</v>
      </c>
      <c r="JU8" s="36" t="s">
        <v>302</v>
      </c>
      <c r="JV8" s="36" t="s">
        <v>382</v>
      </c>
      <c r="JW8" s="36" t="s">
        <v>303</v>
      </c>
      <c r="JX8" s="36" t="s">
        <v>468</v>
      </c>
      <c r="JY8" s="36" t="s">
        <v>383</v>
      </c>
      <c r="JZ8" s="36" t="s">
        <v>384</v>
      </c>
      <c r="KA8" s="36" t="s">
        <v>385</v>
      </c>
      <c r="KB8" s="36" t="s">
        <v>388</v>
      </c>
      <c r="KC8" s="36" t="s">
        <v>387</v>
      </c>
      <c r="KD8" s="36" t="s">
        <v>386</v>
      </c>
      <c r="KE8" s="36" t="s">
        <v>389</v>
      </c>
      <c r="KF8" s="36" t="s">
        <v>390</v>
      </c>
      <c r="KG8" s="36" t="s">
        <v>394</v>
      </c>
      <c r="KH8" s="36" t="s">
        <v>393</v>
      </c>
      <c r="KI8" s="36" t="s">
        <v>392</v>
      </c>
      <c r="KJ8" s="36" t="s">
        <v>391</v>
      </c>
      <c r="KK8" s="36" t="s">
        <v>395</v>
      </c>
      <c r="KL8" s="36" t="s">
        <v>471</v>
      </c>
      <c r="KM8" s="36" t="s">
        <v>396</v>
      </c>
      <c r="KN8" s="36" t="s">
        <v>397</v>
      </c>
      <c r="KO8" s="37" t="s">
        <v>398</v>
      </c>
      <c r="KP8" s="36" t="s">
        <v>399</v>
      </c>
      <c r="KQ8" s="36" t="s">
        <v>400</v>
      </c>
      <c r="KR8" s="36" t="s">
        <v>401</v>
      </c>
      <c r="KS8" s="36" t="s">
        <v>405</v>
      </c>
      <c r="KT8" s="36" t="s">
        <v>404</v>
      </c>
      <c r="KU8" s="36" t="s">
        <v>403</v>
      </c>
      <c r="KV8" s="36" t="s">
        <v>402</v>
      </c>
      <c r="KW8" s="36" t="s">
        <v>466</v>
      </c>
      <c r="KX8" s="36" t="s">
        <v>406</v>
      </c>
      <c r="KY8" s="36" t="s">
        <v>407</v>
      </c>
      <c r="KZ8" s="36" t="s">
        <v>408</v>
      </c>
      <c r="LA8" s="36" t="s">
        <v>409</v>
      </c>
      <c r="LB8" s="36" t="s">
        <v>410</v>
      </c>
      <c r="LC8" s="36" t="s">
        <v>418</v>
      </c>
      <c r="LD8" s="36" t="s">
        <v>417</v>
      </c>
      <c r="LE8" s="36" t="s">
        <v>416</v>
      </c>
      <c r="LF8" s="36" t="s">
        <v>415</v>
      </c>
      <c r="LG8" s="36" t="s">
        <v>414</v>
      </c>
      <c r="LH8" s="36" t="s">
        <v>413</v>
      </c>
      <c r="LI8" s="36" t="s">
        <v>412</v>
      </c>
      <c r="LJ8" s="36" t="s">
        <v>411</v>
      </c>
      <c r="LK8" s="36" t="s">
        <v>427</v>
      </c>
      <c r="LL8" s="36" t="s">
        <v>426</v>
      </c>
      <c r="LM8" s="36" t="s">
        <v>425</v>
      </c>
      <c r="LN8" s="36" t="s">
        <v>424</v>
      </c>
      <c r="LO8" s="36" t="s">
        <v>423</v>
      </c>
      <c r="LP8" s="36" t="s">
        <v>422</v>
      </c>
      <c r="LQ8" s="36" t="s">
        <v>421</v>
      </c>
      <c r="LR8" s="36" t="s">
        <v>420</v>
      </c>
      <c r="LS8" s="36" t="s">
        <v>419</v>
      </c>
      <c r="LT8" s="36" t="s">
        <v>436</v>
      </c>
      <c r="LU8" s="36" t="s">
        <v>435</v>
      </c>
      <c r="LV8" s="36" t="s">
        <v>434</v>
      </c>
      <c r="LW8" s="36" t="s">
        <v>433</v>
      </c>
      <c r="LX8" s="36" t="s">
        <v>432</v>
      </c>
      <c r="LY8" s="36" t="s">
        <v>431</v>
      </c>
      <c r="LZ8" s="36" t="s">
        <v>430</v>
      </c>
      <c r="MA8" s="36" t="s">
        <v>429</v>
      </c>
      <c r="MB8" s="36" t="s">
        <v>428</v>
      </c>
      <c r="MC8" s="36" t="s">
        <v>445</v>
      </c>
      <c r="MD8" s="36" t="s">
        <v>444</v>
      </c>
      <c r="ME8" s="36" t="s">
        <v>443</v>
      </c>
      <c r="MF8" s="36" t="s">
        <v>442</v>
      </c>
      <c r="MG8" s="36" t="s">
        <v>441</v>
      </c>
      <c r="MH8" s="36" t="s">
        <v>440</v>
      </c>
      <c r="MI8" s="36" t="s">
        <v>439</v>
      </c>
      <c r="MJ8" s="36" t="s">
        <v>438</v>
      </c>
      <c r="MK8" s="36" t="s">
        <v>437</v>
      </c>
      <c r="ML8" s="36" t="s">
        <v>454</v>
      </c>
      <c r="MM8" s="36" t="s">
        <v>453</v>
      </c>
      <c r="MN8" s="36" t="s">
        <v>452</v>
      </c>
      <c r="MO8" s="36" t="s">
        <v>451</v>
      </c>
      <c r="MP8" s="36" t="s">
        <v>450</v>
      </c>
      <c r="MQ8" s="36" t="s">
        <v>449</v>
      </c>
      <c r="MR8" s="36" t="s">
        <v>448</v>
      </c>
      <c r="MS8" s="36" t="s">
        <v>447</v>
      </c>
      <c r="MT8" s="36" t="s">
        <v>446</v>
      </c>
      <c r="MU8" s="36" t="s">
        <v>455</v>
      </c>
      <c r="MV8" s="36" t="s">
        <v>457</v>
      </c>
      <c r="MW8" s="36" t="s">
        <v>456</v>
      </c>
      <c r="MX8" s="14"/>
      <c r="MY8" s="14"/>
      <c r="MZ8" s="2"/>
      <c r="NA8" s="2"/>
    </row>
    <row r="9" spans="1:365" ht="19.5" hidden="1" customHeight="1" x14ac:dyDescent="0.2">
      <c r="A9" s="98" t="s">
        <v>7</v>
      </c>
      <c r="B9" s="99"/>
      <c r="C9" s="100"/>
      <c r="D9" s="41" t="s">
        <v>219</v>
      </c>
      <c r="E9" s="41" t="s">
        <v>220</v>
      </c>
      <c r="F9" s="41" t="s">
        <v>219</v>
      </c>
      <c r="G9" s="41" t="s">
        <v>218</v>
      </c>
      <c r="H9" s="41" t="s">
        <v>220</v>
      </c>
      <c r="I9" s="41" t="s">
        <v>221</v>
      </c>
      <c r="J9" s="41" t="s">
        <v>220</v>
      </c>
      <c r="K9" s="41" t="s">
        <v>223</v>
      </c>
      <c r="L9" s="41" t="s">
        <v>219</v>
      </c>
      <c r="M9" s="41" t="s">
        <v>220</v>
      </c>
      <c r="N9" s="41" t="s">
        <v>223</v>
      </c>
      <c r="O9" s="41" t="s">
        <v>224</v>
      </c>
      <c r="P9" s="41" t="s">
        <v>220</v>
      </c>
      <c r="Q9" s="41" t="s">
        <v>221</v>
      </c>
      <c r="R9" s="41" t="s">
        <v>225</v>
      </c>
      <c r="S9" s="42" t="s">
        <v>218</v>
      </c>
      <c r="T9" s="36" t="s">
        <v>218</v>
      </c>
      <c r="U9" s="41" t="s">
        <v>223</v>
      </c>
      <c r="V9" s="41" t="s">
        <v>224</v>
      </c>
      <c r="W9" s="41" t="s">
        <v>219</v>
      </c>
      <c r="X9" s="41" t="s">
        <v>226</v>
      </c>
      <c r="Y9" s="43" t="s">
        <v>224</v>
      </c>
      <c r="Z9" s="41" t="s">
        <v>226</v>
      </c>
      <c r="AA9" s="41" t="s">
        <v>229</v>
      </c>
      <c r="AB9" s="41" t="s">
        <v>224</v>
      </c>
      <c r="AC9" s="41" t="s">
        <v>230</v>
      </c>
      <c r="AD9" s="43" t="s">
        <v>223</v>
      </c>
      <c r="AE9" s="43" t="s">
        <v>220</v>
      </c>
      <c r="AF9" s="41" t="s">
        <v>229</v>
      </c>
      <c r="AG9" s="41" t="s">
        <v>224</v>
      </c>
      <c r="AH9" s="41" t="s">
        <v>223</v>
      </c>
      <c r="AI9" s="41" t="s">
        <v>229</v>
      </c>
      <c r="AJ9" s="43" t="s">
        <v>220</v>
      </c>
      <c r="AK9" s="43" t="s">
        <v>229</v>
      </c>
      <c r="AL9" s="41" t="s">
        <v>218</v>
      </c>
      <c r="AM9" s="41" t="s">
        <v>253</v>
      </c>
      <c r="AN9" s="41" t="s">
        <v>219</v>
      </c>
      <c r="AO9" s="41" t="s">
        <v>231</v>
      </c>
      <c r="AP9" s="41" t="s">
        <v>225</v>
      </c>
      <c r="AQ9" s="41" t="s">
        <v>220</v>
      </c>
      <c r="AR9" s="43" t="s">
        <v>219</v>
      </c>
      <c r="AS9" s="41" t="s">
        <v>224</v>
      </c>
      <c r="AT9" s="41" t="s">
        <v>220</v>
      </c>
      <c r="AU9" s="41" t="s">
        <v>232</v>
      </c>
      <c r="AV9" s="41" t="s">
        <v>220</v>
      </c>
      <c r="AW9" s="41" t="s">
        <v>225</v>
      </c>
      <c r="AX9" s="41" t="s">
        <v>224</v>
      </c>
      <c r="AY9" s="41" t="s">
        <v>220</v>
      </c>
      <c r="AZ9" s="41" t="s">
        <v>223</v>
      </c>
      <c r="BA9" s="41" t="s">
        <v>218</v>
      </c>
      <c r="BB9" s="44" t="s">
        <v>233</v>
      </c>
      <c r="BC9" s="44" t="s">
        <v>226</v>
      </c>
      <c r="BD9" s="44" t="s">
        <v>234</v>
      </c>
      <c r="BE9" s="44" t="s">
        <v>233</v>
      </c>
      <c r="BF9" s="44" t="s">
        <v>233</v>
      </c>
      <c r="BG9" s="44" t="s">
        <v>219</v>
      </c>
      <c r="BH9" s="41" t="s">
        <v>229</v>
      </c>
      <c r="BI9" s="41" t="s">
        <v>229</v>
      </c>
      <c r="BJ9" s="44" t="s">
        <v>235</v>
      </c>
      <c r="BK9" s="44" t="s">
        <v>236</v>
      </c>
      <c r="BL9" s="41" t="s">
        <v>220</v>
      </c>
      <c r="BM9" s="44" t="s">
        <v>218</v>
      </c>
      <c r="BN9" s="44" t="s">
        <v>226</v>
      </c>
      <c r="BO9" s="44" t="s">
        <v>218</v>
      </c>
      <c r="BP9" s="44" t="s">
        <v>237</v>
      </c>
      <c r="BQ9" s="44" t="s">
        <v>218</v>
      </c>
      <c r="BR9" s="44" t="s">
        <v>233</v>
      </c>
      <c r="BS9" s="44" t="s">
        <v>226</v>
      </c>
      <c r="BT9" s="44" t="s">
        <v>218</v>
      </c>
      <c r="BU9" s="44" t="s">
        <v>237</v>
      </c>
      <c r="BV9" s="44" t="s">
        <v>238</v>
      </c>
      <c r="BW9" s="44" t="s">
        <v>234</v>
      </c>
      <c r="BX9" s="41" t="s">
        <v>229</v>
      </c>
      <c r="BY9" s="44" t="s">
        <v>218</v>
      </c>
      <c r="BZ9" s="41" t="s">
        <v>229</v>
      </c>
      <c r="CA9" s="41" t="s">
        <v>220</v>
      </c>
      <c r="CB9" s="41" t="s">
        <v>229</v>
      </c>
      <c r="CC9" s="44" t="s">
        <v>239</v>
      </c>
      <c r="CD9" s="44" t="s">
        <v>223</v>
      </c>
      <c r="CE9" s="44" t="s">
        <v>240</v>
      </c>
      <c r="CF9" s="44" t="s">
        <v>223</v>
      </c>
      <c r="CG9" s="44" t="s">
        <v>233</v>
      </c>
      <c r="CH9" s="41" t="s">
        <v>229</v>
      </c>
      <c r="CI9" s="44" t="s">
        <v>224</v>
      </c>
      <c r="CJ9" s="44" t="s">
        <v>224</v>
      </c>
      <c r="CK9" s="41" t="s">
        <v>229</v>
      </c>
      <c r="CL9" s="44"/>
      <c r="CM9" s="44" t="s">
        <v>224</v>
      </c>
      <c r="CN9" s="44" t="s">
        <v>222</v>
      </c>
      <c r="CO9" s="44" t="s">
        <v>222</v>
      </c>
      <c r="CP9" s="44" t="s">
        <v>222</v>
      </c>
      <c r="CQ9" s="44" t="s">
        <v>218</v>
      </c>
      <c r="CR9" s="44" t="s">
        <v>218</v>
      </c>
      <c r="CS9" s="44" t="s">
        <v>240</v>
      </c>
      <c r="CT9" s="44" t="s">
        <v>226</v>
      </c>
      <c r="CU9" s="44" t="s">
        <v>235</v>
      </c>
      <c r="CV9" s="44" t="s">
        <v>218</v>
      </c>
      <c r="CW9" s="41" t="s">
        <v>220</v>
      </c>
      <c r="CX9" s="44" t="s">
        <v>234</v>
      </c>
      <c r="CY9" s="44" t="s">
        <v>219</v>
      </c>
      <c r="CZ9" s="44" t="s">
        <v>223</v>
      </c>
      <c r="DA9" s="44" t="s">
        <v>218</v>
      </c>
      <c r="DB9" s="44" t="s">
        <v>226</v>
      </c>
      <c r="DC9" s="44" t="s">
        <v>219</v>
      </c>
      <c r="DD9" s="41" t="s">
        <v>229</v>
      </c>
      <c r="DE9" s="41" t="s">
        <v>220</v>
      </c>
      <c r="DF9" s="44" t="s">
        <v>245</v>
      </c>
      <c r="DG9" s="44" t="s">
        <v>241</v>
      </c>
      <c r="DH9" s="41" t="s">
        <v>229</v>
      </c>
      <c r="DI9" s="44" t="s">
        <v>218</v>
      </c>
      <c r="DJ9" s="44" t="s">
        <v>234</v>
      </c>
      <c r="DK9" s="44" t="s">
        <v>237</v>
      </c>
      <c r="DL9" s="44" t="s">
        <v>218</v>
      </c>
      <c r="DM9" s="44" t="s">
        <v>243</v>
      </c>
      <c r="DN9" s="44" t="s">
        <v>235</v>
      </c>
      <c r="DO9" s="44" t="s">
        <v>237</v>
      </c>
      <c r="DP9" s="44" t="s">
        <v>219</v>
      </c>
      <c r="DQ9" s="44" t="s">
        <v>218</v>
      </c>
      <c r="DR9" s="44" t="s">
        <v>244</v>
      </c>
      <c r="DS9" s="44" t="s">
        <v>233</v>
      </c>
      <c r="DT9" s="41" t="s">
        <v>220</v>
      </c>
      <c r="DU9" s="44" t="s">
        <v>219</v>
      </c>
      <c r="DV9" s="44" t="s">
        <v>236</v>
      </c>
      <c r="DW9" s="44" t="s">
        <v>235</v>
      </c>
      <c r="DX9" s="44" t="s">
        <v>226</v>
      </c>
      <c r="DY9" s="44" t="s">
        <v>245</v>
      </c>
      <c r="DZ9" s="41" t="s">
        <v>223</v>
      </c>
      <c r="EA9" s="44" t="s">
        <v>226</v>
      </c>
      <c r="EB9" s="44" t="s">
        <v>218</v>
      </c>
      <c r="EC9" s="41" t="s">
        <v>220</v>
      </c>
      <c r="ED9" s="44" t="s">
        <v>226</v>
      </c>
      <c r="EE9" s="44" t="s">
        <v>239</v>
      </c>
      <c r="EF9" s="44" t="s">
        <v>238</v>
      </c>
      <c r="EG9" s="41" t="s">
        <v>229</v>
      </c>
      <c r="EH9" s="44" t="s">
        <v>234</v>
      </c>
      <c r="EI9" s="44" t="s">
        <v>218</v>
      </c>
      <c r="EJ9" s="45" t="s">
        <v>240</v>
      </c>
      <c r="EK9" s="43" t="s">
        <v>223</v>
      </c>
      <c r="EL9" s="45" t="s">
        <v>237</v>
      </c>
      <c r="EM9" s="45" t="s">
        <v>218</v>
      </c>
      <c r="EN9" s="45" t="s">
        <v>224</v>
      </c>
      <c r="EO9" s="43" t="s">
        <v>223</v>
      </c>
      <c r="EP9" s="45" t="s">
        <v>224</v>
      </c>
      <c r="EQ9" s="43" t="s">
        <v>220</v>
      </c>
      <c r="ER9" s="43" t="s">
        <v>220</v>
      </c>
      <c r="ES9" s="43" t="s">
        <v>226</v>
      </c>
      <c r="ET9" s="43" t="s">
        <v>245</v>
      </c>
      <c r="EU9" s="43" t="s">
        <v>218</v>
      </c>
      <c r="EV9" s="43" t="s">
        <v>237</v>
      </c>
      <c r="EW9" s="43" t="s">
        <v>218</v>
      </c>
      <c r="EX9" s="43" t="s">
        <v>220</v>
      </c>
      <c r="EY9" s="43" t="s">
        <v>233</v>
      </c>
      <c r="EZ9" s="45" t="s">
        <v>226</v>
      </c>
      <c r="FA9" s="45" t="s">
        <v>224</v>
      </c>
      <c r="FB9" s="45" t="s">
        <v>226</v>
      </c>
      <c r="FC9" s="45" t="s">
        <v>235</v>
      </c>
      <c r="FD9" s="45" t="s">
        <v>240</v>
      </c>
      <c r="FE9" s="45"/>
      <c r="FF9" s="46" t="s">
        <v>237</v>
      </c>
      <c r="FG9" s="43" t="s">
        <v>220</v>
      </c>
      <c r="FH9" s="45" t="s">
        <v>223</v>
      </c>
      <c r="FI9" s="43" t="s">
        <v>220</v>
      </c>
      <c r="FJ9" s="45" t="s">
        <v>236</v>
      </c>
      <c r="FK9" s="43" t="s">
        <v>220</v>
      </c>
      <c r="FL9" s="45" t="s">
        <v>218</v>
      </c>
      <c r="FM9" s="43" t="s">
        <v>229</v>
      </c>
      <c r="FN9" s="45" t="s">
        <v>234</v>
      </c>
      <c r="FO9" s="45" t="s">
        <v>218</v>
      </c>
      <c r="FP9" s="45" t="s">
        <v>219</v>
      </c>
      <c r="FQ9" s="45" t="s">
        <v>224</v>
      </c>
      <c r="FR9" s="45" t="s">
        <v>224</v>
      </c>
      <c r="FS9" s="45" t="s">
        <v>224</v>
      </c>
      <c r="FT9" s="45" t="s">
        <v>224</v>
      </c>
      <c r="FU9" s="45" t="s">
        <v>224</v>
      </c>
      <c r="FV9" s="45" t="s">
        <v>235</v>
      </c>
      <c r="FW9" s="43" t="s">
        <v>220</v>
      </c>
      <c r="FX9" s="45" t="s">
        <v>266</v>
      </c>
      <c r="FY9" s="45" t="s">
        <v>226</v>
      </c>
      <c r="FZ9" s="43" t="s">
        <v>223</v>
      </c>
      <c r="GA9" s="45" t="s">
        <v>267</v>
      </c>
      <c r="GB9" s="45" t="s">
        <v>219</v>
      </c>
      <c r="GC9" s="43" t="s">
        <v>220</v>
      </c>
      <c r="GD9" s="45" t="s">
        <v>224</v>
      </c>
      <c r="GE9" s="45" t="s">
        <v>224</v>
      </c>
      <c r="GF9" s="45" t="s">
        <v>273</v>
      </c>
      <c r="GG9" s="45" t="s">
        <v>275</v>
      </c>
      <c r="GH9" s="45" t="s">
        <v>275</v>
      </c>
      <c r="GI9" s="45" t="s">
        <v>278</v>
      </c>
      <c r="GJ9" s="45" t="s">
        <v>278</v>
      </c>
      <c r="GK9" s="45" t="s">
        <v>280</v>
      </c>
      <c r="GL9" s="45" t="s">
        <v>282</v>
      </c>
      <c r="GM9" s="45" t="s">
        <v>284</v>
      </c>
      <c r="GN9" s="45" t="s">
        <v>280</v>
      </c>
      <c r="GO9" s="43" t="s">
        <v>287</v>
      </c>
      <c r="GP9" s="45" t="s">
        <v>270</v>
      </c>
      <c r="GQ9" s="45" t="s">
        <v>290</v>
      </c>
      <c r="GR9" s="45" t="s">
        <v>278</v>
      </c>
      <c r="GS9" s="45" t="s">
        <v>293</v>
      </c>
      <c r="GT9" s="45" t="s">
        <v>295</v>
      </c>
      <c r="GU9" s="43" t="s">
        <v>287</v>
      </c>
      <c r="GV9" s="45" t="s">
        <v>282</v>
      </c>
      <c r="GW9" s="43" t="s">
        <v>287</v>
      </c>
      <c r="GX9" s="45" t="s">
        <v>275</v>
      </c>
      <c r="GY9" s="45" t="s">
        <v>280</v>
      </c>
      <c r="GZ9" s="45" t="s">
        <v>310</v>
      </c>
      <c r="HA9" s="45" t="s">
        <v>312</v>
      </c>
      <c r="HB9" s="43" t="s">
        <v>287</v>
      </c>
      <c r="HC9" s="43" t="s">
        <v>315</v>
      </c>
      <c r="HD9" s="43" t="s">
        <v>287</v>
      </c>
      <c r="HE9" s="45" t="s">
        <v>278</v>
      </c>
      <c r="HF9" s="45" t="s">
        <v>282</v>
      </c>
      <c r="HG9" s="45" t="s">
        <v>295</v>
      </c>
      <c r="HH9" s="45" t="s">
        <v>321</v>
      </c>
      <c r="HI9" s="43" t="s">
        <v>315</v>
      </c>
      <c r="HJ9" s="43" t="s">
        <v>287</v>
      </c>
      <c r="HK9" s="43" t="s">
        <v>287</v>
      </c>
      <c r="HL9" s="45" t="s">
        <v>282</v>
      </c>
      <c r="HM9" s="43" t="s">
        <v>287</v>
      </c>
      <c r="HN9" s="45" t="s">
        <v>282</v>
      </c>
      <c r="HO9" s="45" t="s">
        <v>329</v>
      </c>
      <c r="HP9" s="45" t="s">
        <v>295</v>
      </c>
      <c r="HQ9" s="45" t="s">
        <v>332</v>
      </c>
      <c r="HR9" s="45" t="s">
        <v>334</v>
      </c>
      <c r="HS9" s="45" t="s">
        <v>329</v>
      </c>
      <c r="HT9" s="45" t="s">
        <v>284</v>
      </c>
      <c r="HU9" s="45" t="s">
        <v>282</v>
      </c>
      <c r="HV9" s="45" t="s">
        <v>275</v>
      </c>
      <c r="HW9" s="45" t="s">
        <v>329</v>
      </c>
      <c r="HX9" s="45" t="s">
        <v>310</v>
      </c>
      <c r="HY9" s="43" t="s">
        <v>315</v>
      </c>
      <c r="HZ9" s="43" t="s">
        <v>287</v>
      </c>
      <c r="IA9" s="45" t="s">
        <v>295</v>
      </c>
      <c r="IB9" s="45" t="s">
        <v>462</v>
      </c>
      <c r="IC9" s="45" t="s">
        <v>295</v>
      </c>
      <c r="ID9" s="45" t="s">
        <v>312</v>
      </c>
      <c r="IE9" s="45" t="s">
        <v>282</v>
      </c>
      <c r="IF9" s="43" t="s">
        <v>287</v>
      </c>
      <c r="IG9" s="45" t="s">
        <v>282</v>
      </c>
      <c r="IH9" s="43" t="s">
        <v>287</v>
      </c>
      <c r="II9" s="43" t="s">
        <v>287</v>
      </c>
      <c r="IJ9" s="45" t="s">
        <v>275</v>
      </c>
      <c r="IK9" s="45"/>
      <c r="IL9" s="45" t="s">
        <v>282</v>
      </c>
      <c r="IM9" s="43" t="s">
        <v>287</v>
      </c>
      <c r="IN9" s="45" t="s">
        <v>280</v>
      </c>
      <c r="IO9" s="45" t="s">
        <v>282</v>
      </c>
      <c r="IP9" s="45" t="s">
        <v>463</v>
      </c>
      <c r="IQ9" s="45" t="s">
        <v>278</v>
      </c>
      <c r="IR9" s="45" t="s">
        <v>310</v>
      </c>
      <c r="IS9" s="45" t="s">
        <v>275</v>
      </c>
      <c r="IT9" s="45" t="s">
        <v>280</v>
      </c>
      <c r="IU9" s="45" t="s">
        <v>460</v>
      </c>
      <c r="IV9" s="43" t="s">
        <v>287</v>
      </c>
      <c r="IW9" s="45" t="s">
        <v>315</v>
      </c>
      <c r="IX9" s="45" t="s">
        <v>315</v>
      </c>
      <c r="IY9" s="45" t="s">
        <v>463</v>
      </c>
      <c r="IZ9" s="45" t="s">
        <v>278</v>
      </c>
      <c r="JA9" s="45" t="s">
        <v>463</v>
      </c>
      <c r="JB9" s="43" t="s">
        <v>287</v>
      </c>
      <c r="JC9" s="43" t="s">
        <v>287</v>
      </c>
      <c r="JD9" s="45" t="s">
        <v>295</v>
      </c>
      <c r="JE9" s="45"/>
      <c r="JF9" s="45" t="s">
        <v>295</v>
      </c>
      <c r="JG9" s="45" t="s">
        <v>310</v>
      </c>
      <c r="JH9" s="45" t="s">
        <v>295</v>
      </c>
      <c r="JI9" s="43" t="s">
        <v>287</v>
      </c>
      <c r="JJ9" s="45" t="s">
        <v>278</v>
      </c>
      <c r="JK9" s="43" t="s">
        <v>315</v>
      </c>
      <c r="JL9" s="45" t="s">
        <v>275</v>
      </c>
      <c r="JM9" s="45" t="s">
        <v>332</v>
      </c>
      <c r="JN9" s="45" t="s">
        <v>295</v>
      </c>
      <c r="JO9" s="45" t="s">
        <v>329</v>
      </c>
      <c r="JP9" s="45"/>
      <c r="JQ9" s="45" t="s">
        <v>282</v>
      </c>
      <c r="JR9" s="45"/>
      <c r="JS9" s="45" t="s">
        <v>329</v>
      </c>
      <c r="JT9" s="45" t="s">
        <v>287</v>
      </c>
      <c r="JU9" s="45" t="s">
        <v>310</v>
      </c>
      <c r="JV9" s="45" t="s">
        <v>282</v>
      </c>
      <c r="JW9" s="43" t="s">
        <v>287</v>
      </c>
      <c r="JX9" s="45"/>
      <c r="JY9" s="45" t="s">
        <v>295</v>
      </c>
      <c r="JZ9" s="45" t="s">
        <v>275</v>
      </c>
      <c r="KA9" s="45" t="s">
        <v>282</v>
      </c>
      <c r="KB9" s="45" t="s">
        <v>287</v>
      </c>
      <c r="KC9" s="45" t="s">
        <v>312</v>
      </c>
      <c r="KD9" s="45" t="s">
        <v>295</v>
      </c>
      <c r="KE9" s="45"/>
      <c r="KF9" s="45" t="s">
        <v>282</v>
      </c>
      <c r="KG9" s="45" t="s">
        <v>310</v>
      </c>
      <c r="KH9" s="45" t="s">
        <v>282</v>
      </c>
      <c r="KI9" s="45" t="s">
        <v>463</v>
      </c>
      <c r="KJ9" s="45" t="s">
        <v>321</v>
      </c>
      <c r="KK9" s="45" t="s">
        <v>278</v>
      </c>
      <c r="KL9" s="45" t="s">
        <v>295</v>
      </c>
      <c r="KM9" s="45" t="s">
        <v>310</v>
      </c>
      <c r="KN9" s="45" t="s">
        <v>295</v>
      </c>
      <c r="KO9" s="45" t="s">
        <v>329</v>
      </c>
      <c r="KP9" s="45" t="s">
        <v>282</v>
      </c>
      <c r="KQ9" s="45" t="s">
        <v>282</v>
      </c>
      <c r="KR9" s="45" t="s">
        <v>270</v>
      </c>
      <c r="KS9" s="45" t="s">
        <v>275</v>
      </c>
      <c r="KT9" s="45" t="s">
        <v>295</v>
      </c>
      <c r="KU9" s="45" t="s">
        <v>460</v>
      </c>
      <c r="KV9" s="45" t="s">
        <v>312</v>
      </c>
      <c r="KW9" s="45"/>
      <c r="KX9" s="45" t="s">
        <v>282</v>
      </c>
      <c r="KY9" s="45"/>
      <c r="KZ9" s="45"/>
      <c r="LA9" s="45" t="s">
        <v>278</v>
      </c>
      <c r="LB9" s="45" t="s">
        <v>282</v>
      </c>
      <c r="LC9" s="45" t="s">
        <v>278</v>
      </c>
      <c r="LD9" s="45" t="s">
        <v>278</v>
      </c>
      <c r="LE9" s="45" t="s">
        <v>295</v>
      </c>
      <c r="LF9" s="45" t="s">
        <v>275</v>
      </c>
      <c r="LG9" s="45" t="s">
        <v>280</v>
      </c>
      <c r="LH9" s="45" t="s">
        <v>329</v>
      </c>
      <c r="LI9" s="45" t="s">
        <v>329</v>
      </c>
      <c r="LJ9" s="45" t="s">
        <v>312</v>
      </c>
      <c r="LK9" s="43" t="s">
        <v>287</v>
      </c>
      <c r="LL9" s="45" t="s">
        <v>460</v>
      </c>
      <c r="LM9" s="45" t="s">
        <v>282</v>
      </c>
      <c r="LN9" s="45" t="s">
        <v>310</v>
      </c>
      <c r="LO9" s="45" t="s">
        <v>282</v>
      </c>
      <c r="LP9" s="43" t="s">
        <v>287</v>
      </c>
      <c r="LQ9" s="45" t="s">
        <v>329</v>
      </c>
      <c r="LR9" s="45" t="s">
        <v>464</v>
      </c>
      <c r="LS9" s="43" t="s">
        <v>287</v>
      </c>
      <c r="LT9" s="45" t="s">
        <v>273</v>
      </c>
      <c r="LU9" s="45" t="s">
        <v>282</v>
      </c>
      <c r="LV9" s="43" t="s">
        <v>287</v>
      </c>
      <c r="LW9" s="45" t="s">
        <v>312</v>
      </c>
      <c r="LX9" s="45" t="s">
        <v>282</v>
      </c>
      <c r="LY9" s="45" t="s">
        <v>461</v>
      </c>
      <c r="LZ9" s="43" t="s">
        <v>287</v>
      </c>
      <c r="MA9" s="43" t="s">
        <v>287</v>
      </c>
      <c r="MB9" s="45" t="s">
        <v>275</v>
      </c>
      <c r="MC9" s="45" t="s">
        <v>278</v>
      </c>
      <c r="MD9" s="43" t="s">
        <v>287</v>
      </c>
      <c r="ME9" s="45" t="s">
        <v>332</v>
      </c>
      <c r="MF9" s="45" t="s">
        <v>458</v>
      </c>
      <c r="MG9" s="45" t="s">
        <v>321</v>
      </c>
      <c r="MH9" s="45" t="s">
        <v>275</v>
      </c>
      <c r="MI9" s="45" t="s">
        <v>275</v>
      </c>
      <c r="MJ9" s="45" t="s">
        <v>295</v>
      </c>
      <c r="MK9" s="45" t="s">
        <v>460</v>
      </c>
      <c r="ML9" s="45" t="s">
        <v>275</v>
      </c>
      <c r="MM9" s="45" t="s">
        <v>459</v>
      </c>
      <c r="MN9" s="45" t="s">
        <v>458</v>
      </c>
      <c r="MO9" s="45" t="s">
        <v>295</v>
      </c>
      <c r="MP9" s="45" t="s">
        <v>310</v>
      </c>
      <c r="MQ9" s="43" t="s">
        <v>287</v>
      </c>
      <c r="MR9" s="43" t="s">
        <v>287</v>
      </c>
      <c r="MS9" s="45" t="s">
        <v>280</v>
      </c>
      <c r="MT9" s="45" t="s">
        <v>458</v>
      </c>
      <c r="MU9" s="45" t="s">
        <v>282</v>
      </c>
      <c r="MV9" s="45" t="s">
        <v>310</v>
      </c>
      <c r="MW9" s="43" t="s">
        <v>287</v>
      </c>
      <c r="MX9" s="14"/>
      <c r="MY9" s="14"/>
      <c r="MZ9" s="7"/>
      <c r="NA9" s="7"/>
    </row>
    <row r="10" spans="1:365" ht="14.25" x14ac:dyDescent="0.2">
      <c r="A10" s="101" t="s">
        <v>488</v>
      </c>
      <c r="B10" s="101"/>
      <c r="C10" s="101"/>
      <c r="D10" s="41" t="s">
        <v>3</v>
      </c>
      <c r="E10" s="41" t="s">
        <v>3</v>
      </c>
      <c r="F10" s="41" t="s">
        <v>3</v>
      </c>
      <c r="G10" s="41" t="s">
        <v>4</v>
      </c>
      <c r="H10" s="41" t="s">
        <v>3</v>
      </c>
      <c r="I10" s="41" t="s">
        <v>3</v>
      </c>
      <c r="J10" s="41" t="s">
        <v>3</v>
      </c>
      <c r="K10" s="41" t="s">
        <v>4</v>
      </c>
      <c r="L10" s="41" t="s">
        <v>4</v>
      </c>
      <c r="M10" s="41" t="s">
        <v>4</v>
      </c>
      <c r="N10" s="41" t="s">
        <v>4</v>
      </c>
      <c r="O10" s="41" t="s">
        <v>4</v>
      </c>
      <c r="P10" s="41" t="s">
        <v>4</v>
      </c>
      <c r="Q10" s="41" t="s">
        <v>4</v>
      </c>
      <c r="R10" s="41" t="s">
        <v>4</v>
      </c>
      <c r="S10" s="41" t="s">
        <v>4</v>
      </c>
      <c r="T10" s="41" t="s">
        <v>4</v>
      </c>
      <c r="U10" s="41" t="s">
        <v>4</v>
      </c>
      <c r="V10" s="41" t="s">
        <v>4</v>
      </c>
      <c r="W10" s="41" t="s">
        <v>4</v>
      </c>
      <c r="X10" s="41" t="s">
        <v>8</v>
      </c>
      <c r="Y10" s="41" t="s">
        <v>8</v>
      </c>
      <c r="Z10" s="41" t="s">
        <v>46</v>
      </c>
      <c r="AA10" s="41" t="s">
        <v>4</v>
      </c>
      <c r="AB10" s="41" t="s">
        <v>8</v>
      </c>
      <c r="AC10" s="41" t="s">
        <v>4</v>
      </c>
      <c r="AD10" s="41" t="s">
        <v>8</v>
      </c>
      <c r="AE10" s="41" t="s">
        <v>8</v>
      </c>
      <c r="AF10" s="41" t="s">
        <v>4</v>
      </c>
      <c r="AG10" s="41" t="s">
        <v>4</v>
      </c>
      <c r="AH10" s="41" t="s">
        <v>4</v>
      </c>
      <c r="AI10" s="41" t="s">
        <v>4</v>
      </c>
      <c r="AJ10" s="41" t="s">
        <v>4</v>
      </c>
      <c r="AK10" s="41" t="s">
        <v>4</v>
      </c>
      <c r="AL10" s="41" t="s">
        <v>8</v>
      </c>
      <c r="AM10" s="41" t="s">
        <v>4</v>
      </c>
      <c r="AN10" s="41" t="s">
        <v>4</v>
      </c>
      <c r="AO10" s="41" t="s">
        <v>4</v>
      </c>
      <c r="AP10" s="41" t="s">
        <v>4</v>
      </c>
      <c r="AQ10" s="41" t="s">
        <v>8</v>
      </c>
      <c r="AR10" s="41" t="s">
        <v>8</v>
      </c>
      <c r="AS10" s="41" t="s">
        <v>4</v>
      </c>
      <c r="AT10" s="41" t="s">
        <v>8</v>
      </c>
      <c r="AU10" s="41" t="s">
        <v>8</v>
      </c>
      <c r="AV10" s="41" t="s">
        <v>8</v>
      </c>
      <c r="AW10" s="41" t="s">
        <v>8</v>
      </c>
      <c r="AX10" s="41" t="s">
        <v>4</v>
      </c>
      <c r="AY10" s="41" t="s">
        <v>4</v>
      </c>
      <c r="AZ10" s="41" t="s">
        <v>8</v>
      </c>
      <c r="BA10" s="41" t="s">
        <v>4</v>
      </c>
      <c r="BB10" s="44" t="s">
        <v>4</v>
      </c>
      <c r="BC10" s="44" t="s">
        <v>4</v>
      </c>
      <c r="BD10" s="44" t="s">
        <v>4</v>
      </c>
      <c r="BE10" s="44" t="s">
        <v>4</v>
      </c>
      <c r="BF10" s="44" t="s">
        <v>4</v>
      </c>
      <c r="BG10" s="44" t="s">
        <v>4</v>
      </c>
      <c r="BH10" s="44" t="s">
        <v>8</v>
      </c>
      <c r="BI10" s="44" t="s">
        <v>4</v>
      </c>
      <c r="BJ10" s="44" t="s">
        <v>4</v>
      </c>
      <c r="BK10" s="44" t="s">
        <v>4</v>
      </c>
      <c r="BL10" s="44" t="s">
        <v>4</v>
      </c>
      <c r="BM10" s="44" t="s">
        <v>4</v>
      </c>
      <c r="BN10" s="44" t="s">
        <v>4</v>
      </c>
      <c r="BO10" s="44" t="s">
        <v>4</v>
      </c>
      <c r="BP10" s="44" t="s">
        <v>4</v>
      </c>
      <c r="BQ10" s="44" t="s">
        <v>4</v>
      </c>
      <c r="BR10" s="44" t="s">
        <v>4</v>
      </c>
      <c r="BS10" s="44" t="s">
        <v>4</v>
      </c>
      <c r="BT10" s="44" t="s">
        <v>4</v>
      </c>
      <c r="BU10" s="44" t="s">
        <v>4</v>
      </c>
      <c r="BV10" s="44" t="s">
        <v>4</v>
      </c>
      <c r="BW10" s="44" t="s">
        <v>4</v>
      </c>
      <c r="BX10" s="44" t="s">
        <v>4</v>
      </c>
      <c r="BY10" s="44" t="s">
        <v>4</v>
      </c>
      <c r="BZ10" s="44" t="s">
        <v>4</v>
      </c>
      <c r="CA10" s="44" t="s">
        <v>4</v>
      </c>
      <c r="CB10" s="44" t="s">
        <v>4</v>
      </c>
      <c r="CC10" s="44" t="s">
        <v>4</v>
      </c>
      <c r="CD10" s="44" t="s">
        <v>4</v>
      </c>
      <c r="CE10" s="44" t="s">
        <v>4</v>
      </c>
      <c r="CF10" s="44" t="s">
        <v>4</v>
      </c>
      <c r="CG10" s="44" t="s">
        <v>4</v>
      </c>
      <c r="CH10" s="44" t="s">
        <v>4</v>
      </c>
      <c r="CI10" s="44" t="s">
        <v>4</v>
      </c>
      <c r="CJ10" s="44" t="s">
        <v>4</v>
      </c>
      <c r="CK10" s="44" t="s">
        <v>4</v>
      </c>
      <c r="CL10" s="44" t="s">
        <v>5</v>
      </c>
      <c r="CM10" s="44" t="s">
        <v>4</v>
      </c>
      <c r="CN10" s="44" t="s">
        <v>4</v>
      </c>
      <c r="CO10" s="44" t="s">
        <v>4</v>
      </c>
      <c r="CP10" s="44" t="s">
        <v>4</v>
      </c>
      <c r="CQ10" s="44" t="s">
        <v>4</v>
      </c>
      <c r="CR10" s="44" t="s">
        <v>4</v>
      </c>
      <c r="CS10" s="44" t="s">
        <v>4</v>
      </c>
      <c r="CT10" s="44" t="s">
        <v>4</v>
      </c>
      <c r="CU10" s="44" t="s">
        <v>4</v>
      </c>
      <c r="CV10" s="44" t="s">
        <v>4</v>
      </c>
      <c r="CW10" s="44" t="s">
        <v>4</v>
      </c>
      <c r="CX10" s="44" t="s">
        <v>4</v>
      </c>
      <c r="CY10" s="44" t="s">
        <v>3</v>
      </c>
      <c r="CZ10" s="44" t="s">
        <v>4</v>
      </c>
      <c r="DA10" s="44" t="s">
        <v>4</v>
      </c>
      <c r="DB10" s="44" t="s">
        <v>4</v>
      </c>
      <c r="DC10" s="44" t="s">
        <v>4</v>
      </c>
      <c r="DD10" s="44" t="s">
        <v>4</v>
      </c>
      <c r="DE10" s="44" t="s">
        <v>4</v>
      </c>
      <c r="DF10" s="44" t="s">
        <v>4</v>
      </c>
      <c r="DG10" s="44" t="s">
        <v>4</v>
      </c>
      <c r="DH10" s="44" t="s">
        <v>4</v>
      </c>
      <c r="DI10" s="44" t="s">
        <v>4</v>
      </c>
      <c r="DJ10" s="44" t="s">
        <v>242</v>
      </c>
      <c r="DK10" s="44" t="s">
        <v>4</v>
      </c>
      <c r="DL10" s="44" t="s">
        <v>4</v>
      </c>
      <c r="DM10" s="44" t="s">
        <v>4</v>
      </c>
      <c r="DN10" s="44" t="s">
        <v>4</v>
      </c>
      <c r="DO10" s="44" t="s">
        <v>4</v>
      </c>
      <c r="DP10" s="44" t="s">
        <v>4</v>
      </c>
      <c r="DQ10" s="44" t="s">
        <v>4</v>
      </c>
      <c r="DR10" s="44" t="s">
        <v>4</v>
      </c>
      <c r="DS10" s="44" t="s">
        <v>3</v>
      </c>
      <c r="DT10" s="44" t="s">
        <v>5</v>
      </c>
      <c r="DU10" s="44" t="s">
        <v>4</v>
      </c>
      <c r="DV10" s="44" t="s">
        <v>8</v>
      </c>
      <c r="DW10" s="44" t="s">
        <v>242</v>
      </c>
      <c r="DX10" s="44" t="s">
        <v>3</v>
      </c>
      <c r="DY10" s="44" t="s">
        <v>4</v>
      </c>
      <c r="DZ10" s="44" t="s">
        <v>4</v>
      </c>
      <c r="EA10" s="44" t="s">
        <v>4</v>
      </c>
      <c r="EB10" s="44" t="s">
        <v>4</v>
      </c>
      <c r="EC10" s="44" t="s">
        <v>4</v>
      </c>
      <c r="ED10" s="44" t="s">
        <v>4</v>
      </c>
      <c r="EE10" s="44" t="s">
        <v>4</v>
      </c>
      <c r="EF10" s="44" t="s">
        <v>4</v>
      </c>
      <c r="EG10" s="44" t="s">
        <v>4</v>
      </c>
      <c r="EH10" s="44" t="s">
        <v>4</v>
      </c>
      <c r="EI10" s="44" t="s">
        <v>4</v>
      </c>
      <c r="EJ10" s="44" t="s">
        <v>4</v>
      </c>
      <c r="EK10" s="44" t="s">
        <v>4</v>
      </c>
      <c r="EL10" s="44" t="s">
        <v>4</v>
      </c>
      <c r="EM10" s="44" t="s">
        <v>4</v>
      </c>
      <c r="EN10" s="44" t="s">
        <v>4</v>
      </c>
      <c r="EO10" s="44" t="s">
        <v>4</v>
      </c>
      <c r="EP10" s="44" t="s">
        <v>4</v>
      </c>
      <c r="EQ10" s="44" t="s">
        <v>4</v>
      </c>
      <c r="ER10" s="44" t="s">
        <v>4</v>
      </c>
      <c r="ES10" s="44" t="s">
        <v>4</v>
      </c>
      <c r="ET10" s="44" t="s">
        <v>4</v>
      </c>
      <c r="EU10" s="44" t="s">
        <v>4</v>
      </c>
      <c r="EV10" s="44" t="s">
        <v>4</v>
      </c>
      <c r="EW10" s="44" t="s">
        <v>4</v>
      </c>
      <c r="EX10" s="44" t="s">
        <v>4</v>
      </c>
      <c r="EY10" s="44" t="s">
        <v>3</v>
      </c>
      <c r="EZ10" s="44" t="s">
        <v>4</v>
      </c>
      <c r="FA10" s="44" t="s">
        <v>4</v>
      </c>
      <c r="FB10" s="44" t="s">
        <v>4</v>
      </c>
      <c r="FC10" s="44" t="s">
        <v>4</v>
      </c>
      <c r="FD10" s="44" t="s">
        <v>246</v>
      </c>
      <c r="FE10" s="44" t="s">
        <v>4</v>
      </c>
      <c r="FF10" s="44" t="s">
        <v>4</v>
      </c>
      <c r="FG10" s="44" t="s">
        <v>4</v>
      </c>
      <c r="FH10" s="44" t="s">
        <v>4</v>
      </c>
      <c r="FI10" s="44" t="s">
        <v>4</v>
      </c>
      <c r="FJ10" s="44" t="s">
        <v>4</v>
      </c>
      <c r="FK10" s="44" t="s">
        <v>4</v>
      </c>
      <c r="FL10" s="44" t="s">
        <v>4</v>
      </c>
      <c r="FM10" s="44" t="s">
        <v>4</v>
      </c>
      <c r="FN10" s="44" t="s">
        <v>4</v>
      </c>
      <c r="FO10" s="44" t="s">
        <v>4</v>
      </c>
      <c r="FP10" s="44" t="s">
        <v>4</v>
      </c>
      <c r="FQ10" s="44" t="s">
        <v>4</v>
      </c>
      <c r="FR10" s="44" t="s">
        <v>4</v>
      </c>
      <c r="FS10" s="44" t="s">
        <v>4</v>
      </c>
      <c r="FT10" s="44" t="s">
        <v>4</v>
      </c>
      <c r="FU10" s="44" t="s">
        <v>4</v>
      </c>
      <c r="FV10" s="44" t="s">
        <v>8</v>
      </c>
      <c r="FW10" s="44" t="s">
        <v>8</v>
      </c>
      <c r="FX10" s="44" t="s">
        <v>246</v>
      </c>
      <c r="FY10" s="44" t="s">
        <v>8</v>
      </c>
      <c r="FZ10" s="44" t="s">
        <v>8</v>
      </c>
      <c r="GA10" s="44" t="s">
        <v>8</v>
      </c>
      <c r="GB10" s="44" t="s">
        <v>8</v>
      </c>
      <c r="GC10" s="44" t="s">
        <v>8</v>
      </c>
      <c r="GD10" s="44" t="s">
        <v>8</v>
      </c>
      <c r="GE10" s="44" t="s">
        <v>8</v>
      </c>
      <c r="GF10" s="44" t="s">
        <v>8</v>
      </c>
      <c r="GG10" s="44" t="s">
        <v>8</v>
      </c>
      <c r="GH10" s="44" t="s">
        <v>8</v>
      </c>
      <c r="GI10" s="44" t="s">
        <v>8</v>
      </c>
      <c r="GJ10" s="44" t="s">
        <v>8</v>
      </c>
      <c r="GK10" s="44" t="s">
        <v>8</v>
      </c>
      <c r="GL10" s="44" t="s">
        <v>8</v>
      </c>
      <c r="GM10" s="44" t="s">
        <v>8</v>
      </c>
      <c r="GN10" s="44" t="s">
        <v>8</v>
      </c>
      <c r="GO10" s="44" t="s">
        <v>8</v>
      </c>
      <c r="GP10" s="44" t="s">
        <v>8</v>
      </c>
      <c r="GQ10" s="44" t="s">
        <v>8</v>
      </c>
      <c r="GR10" s="44" t="s">
        <v>8</v>
      </c>
      <c r="GS10" s="44" t="s">
        <v>8</v>
      </c>
      <c r="GT10" s="44" t="s">
        <v>8</v>
      </c>
      <c r="GU10" s="44" t="s">
        <v>8</v>
      </c>
      <c r="GV10" s="44" t="s">
        <v>8</v>
      </c>
      <c r="GW10" s="44" t="s">
        <v>8</v>
      </c>
      <c r="GX10" s="44" t="s">
        <v>8</v>
      </c>
      <c r="GY10" s="44" t="s">
        <v>8</v>
      </c>
      <c r="GZ10" s="44" t="s">
        <v>8</v>
      </c>
      <c r="HA10" s="44" t="s">
        <v>8</v>
      </c>
      <c r="HB10" s="44" t="s">
        <v>8</v>
      </c>
      <c r="HC10" s="44" t="s">
        <v>8</v>
      </c>
      <c r="HD10" s="44" t="s">
        <v>8</v>
      </c>
      <c r="HE10" s="44" t="s">
        <v>8</v>
      </c>
      <c r="HF10" s="44" t="s">
        <v>8</v>
      </c>
      <c r="HG10" s="44" t="s">
        <v>8</v>
      </c>
      <c r="HH10" s="44" t="s">
        <v>8</v>
      </c>
      <c r="HI10" s="44" t="s">
        <v>8</v>
      </c>
      <c r="HJ10" s="44" t="s">
        <v>8</v>
      </c>
      <c r="HK10" s="44" t="s">
        <v>8</v>
      </c>
      <c r="HL10" s="44" t="s">
        <v>8</v>
      </c>
      <c r="HM10" s="44" t="s">
        <v>8</v>
      </c>
      <c r="HN10" s="44" t="s">
        <v>8</v>
      </c>
      <c r="HO10" s="44" t="s">
        <v>8</v>
      </c>
      <c r="HP10" s="44" t="s">
        <v>8</v>
      </c>
      <c r="HQ10" s="44" t="s">
        <v>8</v>
      </c>
      <c r="HR10" s="44" t="s">
        <v>8</v>
      </c>
      <c r="HS10" s="44" t="s">
        <v>8</v>
      </c>
      <c r="HT10" s="44" t="s">
        <v>8</v>
      </c>
      <c r="HU10" s="44" t="s">
        <v>8</v>
      </c>
      <c r="HV10" s="44" t="s">
        <v>8</v>
      </c>
      <c r="HW10" s="44" t="s">
        <v>8</v>
      </c>
      <c r="HX10" s="44" t="s">
        <v>8</v>
      </c>
      <c r="HY10" s="44" t="s">
        <v>8</v>
      </c>
      <c r="HZ10" s="44" t="s">
        <v>8</v>
      </c>
      <c r="IA10" s="44" t="s">
        <v>8</v>
      </c>
      <c r="IB10" s="44" t="s">
        <v>8</v>
      </c>
      <c r="IC10" s="44" t="s">
        <v>8</v>
      </c>
      <c r="ID10" s="44" t="s">
        <v>8</v>
      </c>
      <c r="IE10" s="44" t="s">
        <v>8</v>
      </c>
      <c r="IF10" s="44" t="s">
        <v>8</v>
      </c>
      <c r="IG10" s="44" t="s">
        <v>8</v>
      </c>
      <c r="IH10" s="44" t="s">
        <v>8</v>
      </c>
      <c r="II10" s="44" t="s">
        <v>8</v>
      </c>
      <c r="IJ10" s="44" t="s">
        <v>8</v>
      </c>
      <c r="IK10" s="44" t="s">
        <v>8</v>
      </c>
      <c r="IL10" s="44" t="s">
        <v>8</v>
      </c>
      <c r="IM10" s="44" t="s">
        <v>8</v>
      </c>
      <c r="IN10" s="44" t="s">
        <v>8</v>
      </c>
      <c r="IO10" s="44" t="s">
        <v>8</v>
      </c>
      <c r="IP10" s="44" t="s">
        <v>8</v>
      </c>
      <c r="IQ10" s="44" t="s">
        <v>8</v>
      </c>
      <c r="IR10" s="44" t="s">
        <v>8</v>
      </c>
      <c r="IS10" s="44" t="s">
        <v>8</v>
      </c>
      <c r="IT10" s="44" t="s">
        <v>8</v>
      </c>
      <c r="IU10" s="44" t="s">
        <v>8</v>
      </c>
      <c r="IV10" s="44" t="s">
        <v>8</v>
      </c>
      <c r="IW10" s="44" t="s">
        <v>8</v>
      </c>
      <c r="IX10" s="44" t="s">
        <v>8</v>
      </c>
      <c r="IY10" s="44" t="s">
        <v>8</v>
      </c>
      <c r="IZ10" s="44" t="s">
        <v>8</v>
      </c>
      <c r="JA10" s="44" t="s">
        <v>8</v>
      </c>
      <c r="JB10" s="44" t="s">
        <v>8</v>
      </c>
      <c r="JC10" s="44" t="s">
        <v>8</v>
      </c>
      <c r="JD10" s="44" t="s">
        <v>8</v>
      </c>
      <c r="JE10" s="44" t="s">
        <v>8</v>
      </c>
      <c r="JF10" s="44" t="s">
        <v>8</v>
      </c>
      <c r="JG10" s="44" t="s">
        <v>8</v>
      </c>
      <c r="JH10" s="44" t="s">
        <v>8</v>
      </c>
      <c r="JI10" s="44" t="s">
        <v>8</v>
      </c>
      <c r="JJ10" s="44" t="s">
        <v>8</v>
      </c>
      <c r="JK10" s="44" t="s">
        <v>8</v>
      </c>
      <c r="JL10" s="44" t="s">
        <v>8</v>
      </c>
      <c r="JM10" s="44" t="s">
        <v>8</v>
      </c>
      <c r="JN10" s="44" t="s">
        <v>8</v>
      </c>
      <c r="JO10" s="44" t="s">
        <v>8</v>
      </c>
      <c r="JP10" s="44" t="s">
        <v>8</v>
      </c>
      <c r="JQ10" s="44" t="s">
        <v>8</v>
      </c>
      <c r="JR10" s="44" t="s">
        <v>8</v>
      </c>
      <c r="JS10" s="44" t="s">
        <v>8</v>
      </c>
      <c r="JT10" s="44" t="s">
        <v>8</v>
      </c>
      <c r="JU10" s="44" t="s">
        <v>8</v>
      </c>
      <c r="JV10" s="44" t="s">
        <v>8</v>
      </c>
      <c r="JW10" s="44" t="s">
        <v>8</v>
      </c>
      <c r="JX10" s="44" t="s">
        <v>8</v>
      </c>
      <c r="JY10" s="44" t="s">
        <v>8</v>
      </c>
      <c r="JZ10" s="44" t="s">
        <v>8</v>
      </c>
      <c r="KA10" s="44" t="s">
        <v>8</v>
      </c>
      <c r="KB10" s="44" t="s">
        <v>8</v>
      </c>
      <c r="KC10" s="44" t="s">
        <v>8</v>
      </c>
      <c r="KD10" s="44" t="s">
        <v>8</v>
      </c>
      <c r="KE10" s="44" t="s">
        <v>8</v>
      </c>
      <c r="KF10" s="44" t="s">
        <v>8</v>
      </c>
      <c r="KG10" s="44" t="s">
        <v>8</v>
      </c>
      <c r="KH10" s="44" t="s">
        <v>8</v>
      </c>
      <c r="KI10" s="44" t="s">
        <v>8</v>
      </c>
      <c r="KJ10" s="44" t="s">
        <v>8</v>
      </c>
      <c r="KK10" s="44" t="s">
        <v>8</v>
      </c>
      <c r="KL10" s="44" t="s">
        <v>8</v>
      </c>
      <c r="KM10" s="44" t="s">
        <v>8</v>
      </c>
      <c r="KN10" s="44" t="s">
        <v>8</v>
      </c>
      <c r="KO10" s="44" t="s">
        <v>8</v>
      </c>
      <c r="KP10" s="44" t="s">
        <v>8</v>
      </c>
      <c r="KQ10" s="44" t="s">
        <v>8</v>
      </c>
      <c r="KR10" s="44" t="s">
        <v>8</v>
      </c>
      <c r="KS10" s="44" t="s">
        <v>8</v>
      </c>
      <c r="KT10" s="44" t="s">
        <v>8</v>
      </c>
      <c r="KU10" s="44" t="s">
        <v>8</v>
      </c>
      <c r="KV10" s="44" t="s">
        <v>8</v>
      </c>
      <c r="KW10" s="44" t="s">
        <v>8</v>
      </c>
      <c r="KX10" s="44" t="s">
        <v>8</v>
      </c>
      <c r="KY10" s="44" t="s">
        <v>8</v>
      </c>
      <c r="KZ10" s="44" t="s">
        <v>8</v>
      </c>
      <c r="LA10" s="44" t="s">
        <v>8</v>
      </c>
      <c r="LB10" s="44" t="s">
        <v>8</v>
      </c>
      <c r="LC10" s="44" t="s">
        <v>8</v>
      </c>
      <c r="LD10" s="44" t="s">
        <v>8</v>
      </c>
      <c r="LE10" s="44" t="s">
        <v>8</v>
      </c>
      <c r="LF10" s="44" t="s">
        <v>8</v>
      </c>
      <c r="LG10" s="44" t="s">
        <v>8</v>
      </c>
      <c r="LH10" s="44" t="s">
        <v>8</v>
      </c>
      <c r="LI10" s="44" t="s">
        <v>8</v>
      </c>
      <c r="LJ10" s="44" t="s">
        <v>8</v>
      </c>
      <c r="LK10" s="44" t="s">
        <v>8</v>
      </c>
      <c r="LL10" s="44" t="s">
        <v>8</v>
      </c>
      <c r="LM10" s="44" t="s">
        <v>8</v>
      </c>
      <c r="LN10" s="44" t="s">
        <v>8</v>
      </c>
      <c r="LO10" s="44" t="s">
        <v>8</v>
      </c>
      <c r="LP10" s="44" t="s">
        <v>8</v>
      </c>
      <c r="LQ10" s="44" t="s">
        <v>8</v>
      </c>
      <c r="LR10" s="44" t="s">
        <v>8</v>
      </c>
      <c r="LS10" s="44" t="s">
        <v>8</v>
      </c>
      <c r="LT10" s="44" t="s">
        <v>8</v>
      </c>
      <c r="LU10" s="44" t="s">
        <v>8</v>
      </c>
      <c r="LV10" s="44" t="s">
        <v>8</v>
      </c>
      <c r="LW10" s="44" t="s">
        <v>8</v>
      </c>
      <c r="LX10" s="44" t="s">
        <v>8</v>
      </c>
      <c r="LY10" s="44" t="s">
        <v>8</v>
      </c>
      <c r="LZ10" s="44" t="s">
        <v>8</v>
      </c>
      <c r="MA10" s="44" t="s">
        <v>8</v>
      </c>
      <c r="MB10" s="44" t="s">
        <v>8</v>
      </c>
      <c r="MC10" s="44" t="s">
        <v>8</v>
      </c>
      <c r="MD10" s="44" t="s">
        <v>8</v>
      </c>
      <c r="ME10" s="44" t="s">
        <v>8</v>
      </c>
      <c r="MF10" s="44" t="s">
        <v>8</v>
      </c>
      <c r="MG10" s="44" t="s">
        <v>8</v>
      </c>
      <c r="MH10" s="44" t="s">
        <v>8</v>
      </c>
      <c r="MI10" s="44" t="s">
        <v>8</v>
      </c>
      <c r="MJ10" s="44" t="s">
        <v>8</v>
      </c>
      <c r="MK10" s="44" t="s">
        <v>8</v>
      </c>
      <c r="ML10" s="44" t="s">
        <v>8</v>
      </c>
      <c r="MM10" s="44" t="s">
        <v>8</v>
      </c>
      <c r="MN10" s="44" t="s">
        <v>8</v>
      </c>
      <c r="MO10" s="44" t="s">
        <v>8</v>
      </c>
      <c r="MP10" s="44" t="s">
        <v>8</v>
      </c>
      <c r="MQ10" s="44" t="s">
        <v>8</v>
      </c>
      <c r="MR10" s="44" t="s">
        <v>8</v>
      </c>
      <c r="MS10" s="44" t="s">
        <v>8</v>
      </c>
      <c r="MT10" s="44" t="s">
        <v>8</v>
      </c>
      <c r="MU10" s="44" t="s">
        <v>8</v>
      </c>
      <c r="MV10" s="44" t="s">
        <v>8</v>
      </c>
      <c r="MW10" s="44" t="s">
        <v>8</v>
      </c>
      <c r="MX10" s="14"/>
      <c r="MY10" s="14"/>
      <c r="MZ10" s="7"/>
      <c r="NA10" s="7"/>
    </row>
    <row r="11" spans="1:365" ht="51" x14ac:dyDescent="0.2">
      <c r="A11" s="36" t="s">
        <v>10</v>
      </c>
      <c r="B11" s="89" t="s">
        <v>9</v>
      </c>
      <c r="C11" s="43" t="s">
        <v>39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7"/>
      <c r="U11" s="48"/>
      <c r="V11" s="47"/>
      <c r="W11" s="47"/>
      <c r="X11" s="47"/>
      <c r="Y11" s="48"/>
      <c r="Z11" s="47"/>
      <c r="AA11" s="47"/>
      <c r="AB11" s="47"/>
      <c r="AC11" s="47"/>
      <c r="AD11" s="47"/>
      <c r="AE11" s="48"/>
      <c r="AF11" s="47"/>
      <c r="AG11" s="47"/>
      <c r="AH11" s="47"/>
      <c r="AI11" s="47"/>
      <c r="AJ11" s="48"/>
      <c r="AK11" s="47"/>
      <c r="AL11" s="47"/>
      <c r="AM11" s="47"/>
      <c r="AN11" s="47"/>
      <c r="AO11" s="47"/>
      <c r="AP11" s="47"/>
      <c r="AQ11" s="47"/>
      <c r="AR11" s="48"/>
      <c r="AS11" s="47"/>
      <c r="AT11" s="47"/>
      <c r="AU11" s="47"/>
      <c r="AV11" s="47"/>
      <c r="AW11" s="47"/>
      <c r="AX11" s="47"/>
      <c r="AY11" s="47"/>
      <c r="AZ11" s="47"/>
      <c r="BA11" s="47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14"/>
      <c r="MY11" s="14"/>
      <c r="MZ11" s="2"/>
      <c r="NA11" s="2"/>
    </row>
    <row r="12" spans="1:365" ht="14.25" x14ac:dyDescent="0.2">
      <c r="A12" s="50" t="s">
        <v>11</v>
      </c>
      <c r="B12" s="51" t="s">
        <v>45</v>
      </c>
      <c r="C12" s="52">
        <f>SUM(C13:C21)</f>
        <v>304274920.20000005</v>
      </c>
      <c r="D12" s="53">
        <f>D13+D14+D15+D16+D17+D19+D18+D20+D21</f>
        <v>0</v>
      </c>
      <c r="E12" s="53">
        <f t="shared" ref="E12:BP12" si="5">E13+E14+E15+E16+E17+E19+E18+E20+E21</f>
        <v>2841.8999999999996</v>
      </c>
      <c r="F12" s="53">
        <f t="shared" si="5"/>
        <v>244713.9</v>
      </c>
      <c r="G12" s="53">
        <f t="shared" si="5"/>
        <v>0</v>
      </c>
      <c r="H12" s="53">
        <f t="shared" si="5"/>
        <v>0</v>
      </c>
      <c r="I12" s="53">
        <f t="shared" si="5"/>
        <v>200</v>
      </c>
      <c r="J12" s="53">
        <f t="shared" si="5"/>
        <v>58706.1</v>
      </c>
      <c r="K12" s="53">
        <f t="shared" si="5"/>
        <v>4918.5999999999995</v>
      </c>
      <c r="L12" s="53">
        <f t="shared" si="5"/>
        <v>70293.900000000009</v>
      </c>
      <c r="M12" s="53">
        <f t="shared" si="5"/>
        <v>1592.5</v>
      </c>
      <c r="N12" s="53">
        <f t="shared" si="5"/>
        <v>7533.9</v>
      </c>
      <c r="O12" s="52">
        <f t="shared" si="5"/>
        <v>203627463.00000003</v>
      </c>
      <c r="P12" s="53">
        <f t="shared" si="5"/>
        <v>4198.2</v>
      </c>
      <c r="Q12" s="53">
        <f t="shared" si="5"/>
        <v>0</v>
      </c>
      <c r="R12" s="53">
        <f t="shared" si="5"/>
        <v>5706.2</v>
      </c>
      <c r="S12" s="53">
        <f t="shared" si="5"/>
        <v>4837.3</v>
      </c>
      <c r="T12" s="53">
        <f t="shared" si="5"/>
        <v>39834.300000000003</v>
      </c>
      <c r="U12" s="53">
        <f t="shared" si="5"/>
        <v>592.29999999999995</v>
      </c>
      <c r="V12" s="53">
        <f t="shared" si="5"/>
        <v>482111.2</v>
      </c>
      <c r="W12" s="53">
        <f t="shared" si="5"/>
        <v>8400</v>
      </c>
      <c r="X12" s="53">
        <f t="shared" si="5"/>
        <v>922.4</v>
      </c>
      <c r="Y12" s="53">
        <f t="shared" si="5"/>
        <v>78599.100000000006</v>
      </c>
      <c r="Z12" s="53">
        <f t="shared" si="5"/>
        <v>14468.2</v>
      </c>
      <c r="AA12" s="53">
        <f t="shared" si="5"/>
        <v>14898.599999999999</v>
      </c>
      <c r="AB12" s="53">
        <f t="shared" si="5"/>
        <v>904298.20000000007</v>
      </c>
      <c r="AC12" s="53">
        <f t="shared" si="5"/>
        <v>91.3</v>
      </c>
      <c r="AD12" s="53">
        <f t="shared" si="5"/>
        <v>2043.3</v>
      </c>
      <c r="AE12" s="53">
        <f t="shared" si="5"/>
        <v>568423.19999999995</v>
      </c>
      <c r="AF12" s="53">
        <f t="shared" si="5"/>
        <v>0</v>
      </c>
      <c r="AG12" s="53">
        <f t="shared" si="5"/>
        <v>293874.7</v>
      </c>
      <c r="AH12" s="53">
        <f t="shared" si="5"/>
        <v>0</v>
      </c>
      <c r="AI12" s="53">
        <f t="shared" si="5"/>
        <v>300</v>
      </c>
      <c r="AJ12" s="53">
        <f t="shared" si="5"/>
        <v>0</v>
      </c>
      <c r="AK12" s="53">
        <f t="shared" si="5"/>
        <v>165</v>
      </c>
      <c r="AL12" s="53">
        <f t="shared" si="5"/>
        <v>2176.3000000000002</v>
      </c>
      <c r="AM12" s="53">
        <f t="shared" si="5"/>
        <v>3230.1</v>
      </c>
      <c r="AN12" s="53">
        <f t="shared" si="5"/>
        <v>1006.4</v>
      </c>
      <c r="AO12" s="53">
        <f t="shared" si="5"/>
        <v>669</v>
      </c>
      <c r="AP12" s="53">
        <f t="shared" si="5"/>
        <v>11787.400000000001</v>
      </c>
      <c r="AQ12" s="53">
        <f t="shared" si="5"/>
        <v>149.80000000000001</v>
      </c>
      <c r="AR12" s="53">
        <f t="shared" si="5"/>
        <v>7865117.2000000002</v>
      </c>
      <c r="AS12" s="53">
        <f t="shared" si="5"/>
        <v>25255045.300000001</v>
      </c>
      <c r="AT12" s="53">
        <f t="shared" si="5"/>
        <v>100584.79999999999</v>
      </c>
      <c r="AU12" s="53">
        <f t="shared" si="5"/>
        <v>50</v>
      </c>
      <c r="AV12" s="53">
        <f t="shared" si="5"/>
        <v>1111.8000000000002</v>
      </c>
      <c r="AW12" s="53">
        <f t="shared" si="5"/>
        <v>49386.5</v>
      </c>
      <c r="AX12" s="53">
        <f t="shared" si="5"/>
        <v>3852597.7</v>
      </c>
      <c r="AY12" s="53">
        <f t="shared" si="5"/>
        <v>21820.100000000002</v>
      </c>
      <c r="AZ12" s="53">
        <f t="shared" si="5"/>
        <v>6535.2</v>
      </c>
      <c r="BA12" s="53">
        <f t="shared" si="5"/>
        <v>195.2</v>
      </c>
      <c r="BB12" s="53">
        <f t="shared" si="5"/>
        <v>30842.800000000003</v>
      </c>
      <c r="BC12" s="53">
        <f t="shared" si="5"/>
        <v>141221.6</v>
      </c>
      <c r="BD12" s="53">
        <f t="shared" si="5"/>
        <v>149.6</v>
      </c>
      <c r="BE12" s="53">
        <f t="shared" si="5"/>
        <v>1195</v>
      </c>
      <c r="BF12" s="53">
        <f t="shared" si="5"/>
        <v>103.3</v>
      </c>
      <c r="BG12" s="53">
        <f t="shared" si="5"/>
        <v>485435.2</v>
      </c>
      <c r="BH12" s="53">
        <f t="shared" si="5"/>
        <v>4571.0999999999995</v>
      </c>
      <c r="BI12" s="53">
        <f t="shared" si="5"/>
        <v>2688.1</v>
      </c>
      <c r="BJ12" s="53">
        <f t="shared" si="5"/>
        <v>50506.200000000004</v>
      </c>
      <c r="BK12" s="53">
        <f t="shared" si="5"/>
        <v>445.1</v>
      </c>
      <c r="BL12" s="53">
        <f t="shared" si="5"/>
        <v>167790.1</v>
      </c>
      <c r="BM12" s="53">
        <f t="shared" si="5"/>
        <v>49212.4</v>
      </c>
      <c r="BN12" s="53">
        <f t="shared" si="5"/>
        <v>13505</v>
      </c>
      <c r="BO12" s="53">
        <f t="shared" si="5"/>
        <v>121.5</v>
      </c>
      <c r="BP12" s="53">
        <f t="shared" si="5"/>
        <v>8267.4</v>
      </c>
      <c r="BQ12" s="53">
        <f t="shared" ref="BQ12:EB12" si="6">BQ13+BQ14+BQ15+BQ16+BQ17+BQ19+BQ18+BQ20+BQ21</f>
        <v>71741.399999999994</v>
      </c>
      <c r="BR12" s="53">
        <f t="shared" si="6"/>
        <v>0.1</v>
      </c>
      <c r="BS12" s="53">
        <f t="shared" si="6"/>
        <v>1689</v>
      </c>
      <c r="BT12" s="53">
        <f t="shared" si="6"/>
        <v>3120.9</v>
      </c>
      <c r="BU12" s="53">
        <f t="shared" si="6"/>
        <v>0</v>
      </c>
      <c r="BV12" s="53">
        <f t="shared" si="6"/>
        <v>1117.8</v>
      </c>
      <c r="BW12" s="53">
        <f t="shared" si="6"/>
        <v>373.2</v>
      </c>
      <c r="BX12" s="53">
        <f t="shared" si="6"/>
        <v>2721.4</v>
      </c>
      <c r="BY12" s="53">
        <f t="shared" si="6"/>
        <v>20</v>
      </c>
      <c r="BZ12" s="53">
        <f t="shared" si="6"/>
        <v>6107.5</v>
      </c>
      <c r="CA12" s="53">
        <f t="shared" si="6"/>
        <v>1021.8</v>
      </c>
      <c r="CB12" s="53">
        <f t="shared" si="6"/>
        <v>1</v>
      </c>
      <c r="CC12" s="53">
        <f t="shared" si="6"/>
        <v>2289.4</v>
      </c>
      <c r="CD12" s="53">
        <f t="shared" si="6"/>
        <v>4707.1000000000004</v>
      </c>
      <c r="CE12" s="53">
        <f t="shared" si="6"/>
        <v>0</v>
      </c>
      <c r="CF12" s="53">
        <f t="shared" si="6"/>
        <v>1162.4000000000001</v>
      </c>
      <c r="CG12" s="53">
        <f t="shared" si="6"/>
        <v>9323.7999999999993</v>
      </c>
      <c r="CH12" s="53">
        <f t="shared" si="6"/>
        <v>39815.199999999997</v>
      </c>
      <c r="CI12" s="53">
        <f t="shared" si="6"/>
        <v>5990</v>
      </c>
      <c r="CJ12" s="53">
        <f t="shared" si="6"/>
        <v>1599363.9000000001</v>
      </c>
      <c r="CK12" s="53">
        <f t="shared" si="6"/>
        <v>0</v>
      </c>
      <c r="CL12" s="53">
        <f t="shared" si="6"/>
        <v>27134.100000000002</v>
      </c>
      <c r="CM12" s="53">
        <f t="shared" si="6"/>
        <v>12603660.299999999</v>
      </c>
      <c r="CN12" s="53">
        <f t="shared" si="6"/>
        <v>2035</v>
      </c>
      <c r="CO12" s="53">
        <f t="shared" si="6"/>
        <v>10034.6</v>
      </c>
      <c r="CP12" s="53">
        <f t="shared" si="6"/>
        <v>1286837.9000000001</v>
      </c>
      <c r="CQ12" s="53">
        <f t="shared" si="6"/>
        <v>199</v>
      </c>
      <c r="CR12" s="53">
        <f t="shared" si="6"/>
        <v>74.099999999999994</v>
      </c>
      <c r="CS12" s="53">
        <f t="shared" si="6"/>
        <v>3155.8</v>
      </c>
      <c r="CT12" s="53">
        <f t="shared" si="6"/>
        <v>0</v>
      </c>
      <c r="CU12" s="53">
        <f t="shared" si="6"/>
        <v>1033.3</v>
      </c>
      <c r="CV12" s="53">
        <f t="shared" si="6"/>
        <v>5218.0999999999995</v>
      </c>
      <c r="CW12" s="53">
        <f t="shared" si="6"/>
        <v>35493.4</v>
      </c>
      <c r="CX12" s="53">
        <f t="shared" si="6"/>
        <v>124.69999999999999</v>
      </c>
      <c r="CY12" s="53">
        <f t="shared" si="6"/>
        <v>680470</v>
      </c>
      <c r="CZ12" s="53">
        <f t="shared" si="6"/>
        <v>0</v>
      </c>
      <c r="DA12" s="53">
        <f t="shared" si="6"/>
        <v>4680.1000000000004</v>
      </c>
      <c r="DB12" s="53">
        <f t="shared" si="6"/>
        <v>0</v>
      </c>
      <c r="DC12" s="53">
        <f t="shared" si="6"/>
        <v>1222.7</v>
      </c>
      <c r="DD12" s="53">
        <f t="shared" si="6"/>
        <v>0</v>
      </c>
      <c r="DE12" s="53">
        <f t="shared" si="6"/>
        <v>38518.199999999997</v>
      </c>
      <c r="DF12" s="53">
        <f t="shared" si="6"/>
        <v>154.4</v>
      </c>
      <c r="DG12" s="53">
        <f t="shared" si="6"/>
        <v>664.30000000000007</v>
      </c>
      <c r="DH12" s="53">
        <f t="shared" si="6"/>
        <v>1508.7</v>
      </c>
      <c r="DI12" s="53">
        <f t="shared" si="6"/>
        <v>48525.8</v>
      </c>
      <c r="DJ12" s="53">
        <f t="shared" si="6"/>
        <v>50</v>
      </c>
      <c r="DK12" s="53">
        <f t="shared" si="6"/>
        <v>24832.899999999998</v>
      </c>
      <c r="DL12" s="53">
        <f t="shared" si="6"/>
        <v>45941.299999999996</v>
      </c>
      <c r="DM12" s="53">
        <f t="shared" si="6"/>
        <v>14870.1</v>
      </c>
      <c r="DN12" s="53">
        <f t="shared" si="6"/>
        <v>60.9</v>
      </c>
      <c r="DO12" s="53">
        <f t="shared" si="6"/>
        <v>17101.8</v>
      </c>
      <c r="DP12" s="53">
        <f t="shared" si="6"/>
        <v>25090.5</v>
      </c>
      <c r="DQ12" s="53">
        <f t="shared" si="6"/>
        <v>91781.4</v>
      </c>
      <c r="DR12" s="53">
        <f t="shared" si="6"/>
        <v>720.7</v>
      </c>
      <c r="DS12" s="53">
        <f t="shared" si="6"/>
        <v>1164.5999999999999</v>
      </c>
      <c r="DT12" s="53">
        <f t="shared" si="6"/>
        <v>13690.6</v>
      </c>
      <c r="DU12" s="53">
        <f t="shared" si="6"/>
        <v>214.5</v>
      </c>
      <c r="DV12" s="53">
        <f t="shared" si="6"/>
        <v>42342.9</v>
      </c>
      <c r="DW12" s="53">
        <f t="shared" si="6"/>
        <v>725.8</v>
      </c>
      <c r="DX12" s="53">
        <f t="shared" si="6"/>
        <v>11409.3</v>
      </c>
      <c r="DY12" s="53">
        <f t="shared" si="6"/>
        <v>114064.2</v>
      </c>
      <c r="DZ12" s="53">
        <f t="shared" si="6"/>
        <v>126005.59999999999</v>
      </c>
      <c r="EA12" s="53">
        <f t="shared" si="6"/>
        <v>100672.3</v>
      </c>
      <c r="EB12" s="53">
        <f t="shared" si="6"/>
        <v>179725.69999999998</v>
      </c>
      <c r="EC12" s="53">
        <f t="shared" ref="EC12:GD12" si="7">EC13+EC14+EC15+EC16+EC17+EC19+EC18+EC20+EC21</f>
        <v>5639.1</v>
      </c>
      <c r="ED12" s="53">
        <f t="shared" si="7"/>
        <v>1154.0999999999999</v>
      </c>
      <c r="EE12" s="53">
        <f t="shared" si="7"/>
        <v>0</v>
      </c>
      <c r="EF12" s="53">
        <f t="shared" si="7"/>
        <v>14528.599999999999</v>
      </c>
      <c r="EG12" s="53">
        <f t="shared" si="7"/>
        <v>0</v>
      </c>
      <c r="EH12" s="53">
        <f t="shared" si="7"/>
        <v>703.2</v>
      </c>
      <c r="EI12" s="53">
        <f t="shared" si="7"/>
        <v>11759.499999999998</v>
      </c>
      <c r="EJ12" s="53">
        <f t="shared" si="7"/>
        <v>5</v>
      </c>
      <c r="EK12" s="53">
        <f t="shared" si="7"/>
        <v>1345</v>
      </c>
      <c r="EL12" s="53">
        <f t="shared" si="7"/>
        <v>84384.6</v>
      </c>
      <c r="EM12" s="53">
        <f t="shared" si="7"/>
        <v>6558.3</v>
      </c>
      <c r="EN12" s="53">
        <f t="shared" si="7"/>
        <v>4612664.5</v>
      </c>
      <c r="EO12" s="53">
        <f t="shared" si="7"/>
        <v>722</v>
      </c>
      <c r="EP12" s="53">
        <f t="shared" si="7"/>
        <v>95140.1</v>
      </c>
      <c r="EQ12" s="53">
        <f t="shared" si="7"/>
        <v>46433.8</v>
      </c>
      <c r="ER12" s="53">
        <f t="shared" si="7"/>
        <v>22621.9</v>
      </c>
      <c r="ES12" s="53">
        <f t="shared" si="7"/>
        <v>44677</v>
      </c>
      <c r="ET12" s="53">
        <f t="shared" si="7"/>
        <v>1367</v>
      </c>
      <c r="EU12" s="53">
        <f t="shared" si="7"/>
        <v>1244.3</v>
      </c>
      <c r="EV12" s="53">
        <f t="shared" si="7"/>
        <v>13035.1</v>
      </c>
      <c r="EW12" s="53">
        <f t="shared" si="7"/>
        <v>22824.400000000001</v>
      </c>
      <c r="EX12" s="53">
        <f t="shared" si="7"/>
        <v>226.2</v>
      </c>
      <c r="EY12" s="53">
        <f t="shared" si="7"/>
        <v>48821</v>
      </c>
      <c r="EZ12" s="53">
        <f t="shared" si="7"/>
        <v>7601</v>
      </c>
      <c r="FA12" s="53">
        <f t="shared" si="7"/>
        <v>3131898.6999999997</v>
      </c>
      <c r="FB12" s="53">
        <f t="shared" si="7"/>
        <v>277232.80000000005</v>
      </c>
      <c r="FC12" s="53">
        <f t="shared" si="7"/>
        <v>303512.09999999998</v>
      </c>
      <c r="FD12" s="53">
        <f t="shared" si="7"/>
        <v>482.3</v>
      </c>
      <c r="FE12" s="53">
        <f t="shared" si="7"/>
        <v>0</v>
      </c>
      <c r="FF12" s="53">
        <f t="shared" si="7"/>
        <v>2178.8000000000002</v>
      </c>
      <c r="FG12" s="53">
        <f t="shared" si="7"/>
        <v>3279.8</v>
      </c>
      <c r="FH12" s="53">
        <f t="shared" si="7"/>
        <v>5632.5</v>
      </c>
      <c r="FI12" s="53">
        <f t="shared" si="7"/>
        <v>400</v>
      </c>
      <c r="FJ12" s="53">
        <f t="shared" si="7"/>
        <v>77.099999999999994</v>
      </c>
      <c r="FK12" s="53">
        <f t="shared" si="7"/>
        <v>94293.9</v>
      </c>
      <c r="FL12" s="53">
        <f t="shared" si="7"/>
        <v>20160.7</v>
      </c>
      <c r="FM12" s="53">
        <f t="shared" si="7"/>
        <v>291520.59999999998</v>
      </c>
      <c r="FN12" s="53">
        <f t="shared" si="7"/>
        <v>67</v>
      </c>
      <c r="FO12" s="53">
        <f t="shared" si="7"/>
        <v>582.1</v>
      </c>
      <c r="FP12" s="53">
        <f t="shared" si="7"/>
        <v>344.2</v>
      </c>
      <c r="FQ12" s="53">
        <f t="shared" si="7"/>
        <v>1519830.5</v>
      </c>
      <c r="FR12" s="53">
        <f t="shared" si="7"/>
        <v>14707895.399999999</v>
      </c>
      <c r="FS12" s="53">
        <f t="shared" si="7"/>
        <v>3188187.4</v>
      </c>
      <c r="FT12" s="53">
        <f t="shared" si="7"/>
        <v>1795966.8</v>
      </c>
      <c r="FU12" s="53">
        <f t="shared" si="7"/>
        <v>42076.1</v>
      </c>
      <c r="FV12" s="53">
        <f t="shared" si="7"/>
        <v>92486.099999999991</v>
      </c>
      <c r="FW12" s="53">
        <f t="shared" si="7"/>
        <v>386905.30000000005</v>
      </c>
      <c r="FX12" s="53">
        <f t="shared" si="7"/>
        <v>97167.599999999991</v>
      </c>
      <c r="FY12" s="53">
        <f t="shared" si="7"/>
        <v>298.39999999999998</v>
      </c>
      <c r="FZ12" s="53">
        <f t="shared" si="7"/>
        <v>4336</v>
      </c>
      <c r="GA12" s="53">
        <f t="shared" si="7"/>
        <v>52280.4</v>
      </c>
      <c r="GB12" s="53">
        <f t="shared" si="7"/>
        <v>94</v>
      </c>
      <c r="GC12" s="53">
        <f t="shared" si="7"/>
        <v>18018.2</v>
      </c>
      <c r="GD12" s="53">
        <f t="shared" si="7"/>
        <v>69240.399999999994</v>
      </c>
      <c r="GE12" s="53">
        <f>GE13+GE14+GE15+GE16+GE17+GE19+GE18+GE20+GE21</f>
        <v>9500</v>
      </c>
      <c r="GF12" s="53">
        <f>GF13+GF14+GF15+GF16+GF17+GF19+GF18+GF20+GF21</f>
        <v>29028</v>
      </c>
      <c r="GG12" s="53">
        <f>GG13+GG14+GG15+GG16+GG17+GG19+GG18+GG20+GG21</f>
        <v>44465.2</v>
      </c>
      <c r="GH12" s="53">
        <f t="shared" ref="GH12:IS12" si="8">GH13+GH14+GH15+GH16+GH17+GH19+GH18+GH20+GH21</f>
        <v>21485.599999999999</v>
      </c>
      <c r="GI12" s="53">
        <f t="shared" si="8"/>
        <v>65001.100000000006</v>
      </c>
      <c r="GJ12" s="53">
        <f t="shared" si="8"/>
        <v>5</v>
      </c>
      <c r="GK12" s="53">
        <f t="shared" si="8"/>
        <v>1757.8</v>
      </c>
      <c r="GL12" s="53">
        <f t="shared" si="8"/>
        <v>10</v>
      </c>
      <c r="GM12" s="53">
        <f t="shared" si="8"/>
        <v>344.1</v>
      </c>
      <c r="GN12" s="53">
        <f t="shared" si="8"/>
        <v>39230.5</v>
      </c>
      <c r="GO12" s="53">
        <f t="shared" si="8"/>
        <v>0.1</v>
      </c>
      <c r="GP12" s="53">
        <f t="shared" si="8"/>
        <v>50493.2</v>
      </c>
      <c r="GQ12" s="53">
        <f t="shared" si="8"/>
        <v>11772.8</v>
      </c>
      <c r="GR12" s="53">
        <f t="shared" si="8"/>
        <v>135</v>
      </c>
      <c r="GS12" s="53">
        <f t="shared" si="8"/>
        <v>93.6</v>
      </c>
      <c r="GT12" s="53">
        <f t="shared" si="8"/>
        <v>10</v>
      </c>
      <c r="GU12" s="53">
        <f t="shared" si="8"/>
        <v>263.5</v>
      </c>
      <c r="GV12" s="53">
        <f t="shared" si="8"/>
        <v>112.7</v>
      </c>
      <c r="GW12" s="53">
        <f t="shared" si="8"/>
        <v>0</v>
      </c>
      <c r="GX12" s="53">
        <f t="shared" si="8"/>
        <v>107.5</v>
      </c>
      <c r="GY12" s="53">
        <f t="shared" si="8"/>
        <v>682.6</v>
      </c>
      <c r="GZ12" s="53">
        <f t="shared" si="8"/>
        <v>10080.700000000001</v>
      </c>
      <c r="HA12" s="53">
        <f t="shared" si="8"/>
        <v>0</v>
      </c>
      <c r="HB12" s="53">
        <f t="shared" si="8"/>
        <v>13639</v>
      </c>
      <c r="HC12" s="53">
        <f t="shared" si="8"/>
        <v>1500</v>
      </c>
      <c r="HD12" s="53">
        <f t="shared" si="8"/>
        <v>50</v>
      </c>
      <c r="HE12" s="53">
        <f t="shared" si="8"/>
        <v>20</v>
      </c>
      <c r="HF12" s="53">
        <f t="shared" si="8"/>
        <v>35</v>
      </c>
      <c r="HG12" s="53">
        <f t="shared" si="8"/>
        <v>436.7</v>
      </c>
      <c r="HH12" s="53">
        <f t="shared" si="8"/>
        <v>436.7</v>
      </c>
      <c r="HI12" s="53">
        <f t="shared" si="8"/>
        <v>2395.4</v>
      </c>
      <c r="HJ12" s="53">
        <f t="shared" si="8"/>
        <v>0</v>
      </c>
      <c r="HK12" s="53">
        <f t="shared" si="8"/>
        <v>11856.4</v>
      </c>
      <c r="HL12" s="53">
        <f t="shared" si="8"/>
        <v>11805.599999999999</v>
      </c>
      <c r="HM12" s="53">
        <f t="shared" si="8"/>
        <v>500</v>
      </c>
      <c r="HN12" s="53">
        <f t="shared" si="8"/>
        <v>25347.899999999998</v>
      </c>
      <c r="HO12" s="53">
        <f t="shared" si="8"/>
        <v>100</v>
      </c>
      <c r="HP12" s="53">
        <f t="shared" si="8"/>
        <v>402.3</v>
      </c>
      <c r="HQ12" s="53">
        <f t="shared" si="8"/>
        <v>323</v>
      </c>
      <c r="HR12" s="53">
        <f t="shared" si="8"/>
        <v>0</v>
      </c>
      <c r="HS12" s="53">
        <f t="shared" si="8"/>
        <v>176498.5</v>
      </c>
      <c r="HT12" s="53">
        <f t="shared" si="8"/>
        <v>0</v>
      </c>
      <c r="HU12" s="53">
        <f t="shared" si="8"/>
        <v>1095.0999999999999</v>
      </c>
      <c r="HV12" s="53">
        <f t="shared" si="8"/>
        <v>43470.8</v>
      </c>
      <c r="HW12" s="53">
        <f t="shared" si="8"/>
        <v>0.1</v>
      </c>
      <c r="HX12" s="53">
        <f t="shared" si="8"/>
        <v>7664.4000000000005</v>
      </c>
      <c r="HY12" s="53">
        <f t="shared" si="8"/>
        <v>60</v>
      </c>
      <c r="HZ12" s="53">
        <f t="shared" si="8"/>
        <v>52478.799999999996</v>
      </c>
      <c r="IA12" s="53">
        <f t="shared" si="8"/>
        <v>139.20000000000002</v>
      </c>
      <c r="IB12" s="53">
        <f t="shared" si="8"/>
        <v>39561.5</v>
      </c>
      <c r="IC12" s="53">
        <f t="shared" si="8"/>
        <v>5</v>
      </c>
      <c r="ID12" s="53">
        <f t="shared" si="8"/>
        <v>250898</v>
      </c>
      <c r="IE12" s="53">
        <f t="shared" si="8"/>
        <v>337.1</v>
      </c>
      <c r="IF12" s="53">
        <f t="shared" si="8"/>
        <v>0</v>
      </c>
      <c r="IG12" s="53">
        <f t="shared" si="8"/>
        <v>635</v>
      </c>
      <c r="IH12" s="53">
        <f t="shared" si="8"/>
        <v>0</v>
      </c>
      <c r="II12" s="53">
        <f t="shared" si="8"/>
        <v>150</v>
      </c>
      <c r="IJ12" s="53">
        <f t="shared" si="8"/>
        <v>421.6</v>
      </c>
      <c r="IK12" s="53">
        <f t="shared" si="8"/>
        <v>43.5</v>
      </c>
      <c r="IL12" s="53">
        <f t="shared" si="8"/>
        <v>20</v>
      </c>
      <c r="IM12" s="53">
        <f t="shared" si="8"/>
        <v>8521.7000000000007</v>
      </c>
      <c r="IN12" s="53">
        <f t="shared" si="8"/>
        <v>0</v>
      </c>
      <c r="IO12" s="53">
        <f t="shared" si="8"/>
        <v>76.599999999999994</v>
      </c>
      <c r="IP12" s="53">
        <f t="shared" si="8"/>
        <v>41896.6</v>
      </c>
      <c r="IQ12" s="53">
        <f t="shared" si="8"/>
        <v>0</v>
      </c>
      <c r="IR12" s="53">
        <f t="shared" si="8"/>
        <v>110986.8</v>
      </c>
      <c r="IS12" s="53">
        <f t="shared" si="8"/>
        <v>30684.100000000002</v>
      </c>
      <c r="IT12" s="53">
        <f t="shared" ref="IT12:LE12" si="9">IT13+IT14+IT15+IT16+IT17+IT19+IT18+IT20+IT21</f>
        <v>10</v>
      </c>
      <c r="IU12" s="53">
        <f t="shared" si="9"/>
        <v>26043.599999999999</v>
      </c>
      <c r="IV12" s="53">
        <f t="shared" si="9"/>
        <v>0</v>
      </c>
      <c r="IW12" s="53">
        <f t="shared" si="9"/>
        <v>35707.599999999999</v>
      </c>
      <c r="IX12" s="53">
        <f t="shared" si="9"/>
        <v>9163.6</v>
      </c>
      <c r="IY12" s="53">
        <f t="shared" si="9"/>
        <v>197.8</v>
      </c>
      <c r="IZ12" s="53">
        <f t="shared" si="9"/>
        <v>100</v>
      </c>
      <c r="JA12" s="53">
        <f t="shared" si="9"/>
        <v>1667.3</v>
      </c>
      <c r="JB12" s="53">
        <f t="shared" si="9"/>
        <v>155.19999999999999</v>
      </c>
      <c r="JC12" s="53">
        <f t="shared" si="9"/>
        <v>0</v>
      </c>
      <c r="JD12" s="53">
        <f t="shared" si="9"/>
        <v>0</v>
      </c>
      <c r="JE12" s="53">
        <f t="shared" si="9"/>
        <v>0</v>
      </c>
      <c r="JF12" s="53">
        <f t="shared" si="9"/>
        <v>476</v>
      </c>
      <c r="JG12" s="53">
        <f t="shared" si="9"/>
        <v>0</v>
      </c>
      <c r="JH12" s="53">
        <f t="shared" si="9"/>
        <v>1280</v>
      </c>
      <c r="JI12" s="53">
        <f t="shared" si="9"/>
        <v>0</v>
      </c>
      <c r="JJ12" s="53">
        <f t="shared" si="9"/>
        <v>20776.5</v>
      </c>
      <c r="JK12" s="53">
        <f t="shared" si="9"/>
        <v>0</v>
      </c>
      <c r="JL12" s="53">
        <f t="shared" si="9"/>
        <v>349</v>
      </c>
      <c r="JM12" s="53">
        <f t="shared" si="9"/>
        <v>24416.100000000002</v>
      </c>
      <c r="JN12" s="53">
        <f t="shared" si="9"/>
        <v>0</v>
      </c>
      <c r="JO12" s="53">
        <f t="shared" si="9"/>
        <v>6531.9000000000005</v>
      </c>
      <c r="JP12" s="53">
        <f t="shared" si="9"/>
        <v>0</v>
      </c>
      <c r="JQ12" s="53">
        <f t="shared" si="9"/>
        <v>1400.1</v>
      </c>
      <c r="JR12" s="53">
        <f t="shared" si="9"/>
        <v>0</v>
      </c>
      <c r="JS12" s="53">
        <f t="shared" si="9"/>
        <v>5</v>
      </c>
      <c r="JT12" s="53">
        <f t="shared" si="9"/>
        <v>0</v>
      </c>
      <c r="JU12" s="53">
        <f t="shared" si="9"/>
        <v>132652.6</v>
      </c>
      <c r="JV12" s="53">
        <f t="shared" si="9"/>
        <v>908.6</v>
      </c>
      <c r="JW12" s="53">
        <f t="shared" si="9"/>
        <v>1746083.9</v>
      </c>
      <c r="JX12" s="53">
        <f t="shared" si="9"/>
        <v>0</v>
      </c>
      <c r="JY12" s="53">
        <f t="shared" si="9"/>
        <v>80</v>
      </c>
      <c r="JZ12" s="53">
        <f t="shared" si="9"/>
        <v>229.8</v>
      </c>
      <c r="KA12" s="53">
        <f t="shared" si="9"/>
        <v>301.3</v>
      </c>
      <c r="KB12" s="53">
        <f t="shared" si="9"/>
        <v>64</v>
      </c>
      <c r="KC12" s="53">
        <f t="shared" si="9"/>
        <v>743.5</v>
      </c>
      <c r="KD12" s="53">
        <f t="shared" si="9"/>
        <v>52.5</v>
      </c>
      <c r="KE12" s="53">
        <f t="shared" si="9"/>
        <v>0</v>
      </c>
      <c r="KF12" s="53">
        <f t="shared" si="9"/>
        <v>0</v>
      </c>
      <c r="KG12" s="53">
        <f t="shared" si="9"/>
        <v>162682.79999999999</v>
      </c>
      <c r="KH12" s="53">
        <f t="shared" si="9"/>
        <v>3597.2</v>
      </c>
      <c r="KI12" s="53">
        <f t="shared" si="9"/>
        <v>38461.4</v>
      </c>
      <c r="KJ12" s="53">
        <f t="shared" si="9"/>
        <v>160.5</v>
      </c>
      <c r="KK12" s="53">
        <f t="shared" si="9"/>
        <v>170.8</v>
      </c>
      <c r="KL12" s="53">
        <f t="shared" si="9"/>
        <v>82.9</v>
      </c>
      <c r="KM12" s="53">
        <f t="shared" si="9"/>
        <v>20808.400000000001</v>
      </c>
      <c r="KN12" s="53">
        <f t="shared" si="9"/>
        <v>0</v>
      </c>
      <c r="KO12" s="53">
        <f t="shared" si="9"/>
        <v>1039.5</v>
      </c>
      <c r="KP12" s="53">
        <f t="shared" si="9"/>
        <v>5535.4</v>
      </c>
      <c r="KQ12" s="53">
        <f t="shared" si="9"/>
        <v>9640.2000000000007</v>
      </c>
      <c r="KR12" s="53">
        <f t="shared" si="9"/>
        <v>3181.2000000000003</v>
      </c>
      <c r="KS12" s="53">
        <f t="shared" si="9"/>
        <v>50</v>
      </c>
      <c r="KT12" s="53">
        <f t="shared" si="9"/>
        <v>2304.1</v>
      </c>
      <c r="KU12" s="53">
        <f t="shared" si="9"/>
        <v>122</v>
      </c>
      <c r="KV12" s="53">
        <f t="shared" si="9"/>
        <v>0</v>
      </c>
      <c r="KW12" s="53">
        <f t="shared" si="9"/>
        <v>506671.8</v>
      </c>
      <c r="KX12" s="53">
        <f t="shared" si="9"/>
        <v>0</v>
      </c>
      <c r="KY12" s="53">
        <f t="shared" si="9"/>
        <v>0</v>
      </c>
      <c r="KZ12" s="53">
        <f t="shared" si="9"/>
        <v>0</v>
      </c>
      <c r="LA12" s="53">
        <f t="shared" si="9"/>
        <v>110</v>
      </c>
      <c r="LB12" s="53">
        <f t="shared" si="9"/>
        <v>300</v>
      </c>
      <c r="LC12" s="53">
        <f t="shared" si="9"/>
        <v>10</v>
      </c>
      <c r="LD12" s="53">
        <f t="shared" si="9"/>
        <v>2248.8000000000002</v>
      </c>
      <c r="LE12" s="53">
        <f t="shared" si="9"/>
        <v>1434.8</v>
      </c>
      <c r="LF12" s="53">
        <f t="shared" ref="LF12:MW12" si="10">LF13+LF14+LF15+LF16+LF17+LF19+LF18+LF20+LF21</f>
        <v>5599433.2999999998</v>
      </c>
      <c r="LG12" s="53">
        <f t="shared" si="10"/>
        <v>21102.6</v>
      </c>
      <c r="LH12" s="53">
        <f t="shared" si="10"/>
        <v>120</v>
      </c>
      <c r="LI12" s="53">
        <f t="shared" si="10"/>
        <v>196.1</v>
      </c>
      <c r="LJ12" s="53">
        <f t="shared" si="10"/>
        <v>0</v>
      </c>
      <c r="LK12" s="53">
        <f t="shared" si="10"/>
        <v>111.1</v>
      </c>
      <c r="LL12" s="53">
        <f t="shared" si="10"/>
        <v>78.2</v>
      </c>
      <c r="LM12" s="53">
        <f t="shared" si="10"/>
        <v>30</v>
      </c>
      <c r="LN12" s="53">
        <f t="shared" si="10"/>
        <v>72802.3</v>
      </c>
      <c r="LO12" s="53">
        <f t="shared" si="10"/>
        <v>394.8</v>
      </c>
      <c r="LP12" s="53">
        <f t="shared" si="10"/>
        <v>0</v>
      </c>
      <c r="LQ12" s="53">
        <f t="shared" si="10"/>
        <v>10</v>
      </c>
      <c r="LR12" s="53">
        <f t="shared" si="10"/>
        <v>2576.1</v>
      </c>
      <c r="LS12" s="53">
        <f t="shared" si="10"/>
        <v>0.1</v>
      </c>
      <c r="LT12" s="53">
        <f t="shared" si="10"/>
        <v>260</v>
      </c>
      <c r="LU12" s="53">
        <f t="shared" si="10"/>
        <v>10</v>
      </c>
      <c r="LV12" s="53">
        <f t="shared" si="10"/>
        <v>8256.6</v>
      </c>
      <c r="LW12" s="53">
        <f t="shared" si="10"/>
        <v>337.1</v>
      </c>
      <c r="LX12" s="53">
        <f t="shared" si="10"/>
        <v>13224.699999999999</v>
      </c>
      <c r="LY12" s="53">
        <f t="shared" si="10"/>
        <v>0</v>
      </c>
      <c r="LZ12" s="53">
        <f t="shared" si="10"/>
        <v>10</v>
      </c>
      <c r="MA12" s="53">
        <f t="shared" si="10"/>
        <v>0</v>
      </c>
      <c r="MB12" s="53">
        <f t="shared" si="10"/>
        <v>563.5</v>
      </c>
      <c r="MC12" s="53">
        <f t="shared" si="10"/>
        <v>64</v>
      </c>
      <c r="MD12" s="53">
        <f t="shared" si="10"/>
        <v>371.7</v>
      </c>
      <c r="ME12" s="53">
        <f t="shared" si="10"/>
        <v>554.6</v>
      </c>
      <c r="MF12" s="53">
        <f t="shared" si="10"/>
        <v>225.5</v>
      </c>
      <c r="MG12" s="53">
        <f t="shared" si="10"/>
        <v>298</v>
      </c>
      <c r="MH12" s="53">
        <f t="shared" si="10"/>
        <v>0</v>
      </c>
      <c r="MI12" s="53">
        <f t="shared" si="10"/>
        <v>21910.199999999997</v>
      </c>
      <c r="MJ12" s="53">
        <f t="shared" si="10"/>
        <v>99</v>
      </c>
      <c r="MK12" s="53">
        <f t="shared" si="10"/>
        <v>8695.2000000000007</v>
      </c>
      <c r="ML12" s="53">
        <f t="shared" si="10"/>
        <v>1519161.0000000002</v>
      </c>
      <c r="MM12" s="53">
        <f t="shared" si="10"/>
        <v>8548.2000000000007</v>
      </c>
      <c r="MN12" s="53">
        <f t="shared" si="10"/>
        <v>57</v>
      </c>
      <c r="MO12" s="53">
        <f t="shared" si="10"/>
        <v>0</v>
      </c>
      <c r="MP12" s="53">
        <f t="shared" si="10"/>
        <v>110</v>
      </c>
      <c r="MQ12" s="53">
        <f t="shared" si="10"/>
        <v>811.39999999999986</v>
      </c>
      <c r="MR12" s="53">
        <f t="shared" si="10"/>
        <v>0</v>
      </c>
      <c r="MS12" s="53">
        <f t="shared" si="10"/>
        <v>0.5</v>
      </c>
      <c r="MT12" s="53">
        <f t="shared" si="10"/>
        <v>126.8</v>
      </c>
      <c r="MU12" s="53">
        <f t="shared" si="10"/>
        <v>1128.8</v>
      </c>
      <c r="MV12" s="53">
        <f t="shared" si="10"/>
        <v>61232.4</v>
      </c>
      <c r="MW12" s="53">
        <f t="shared" si="10"/>
        <v>13709.4</v>
      </c>
      <c r="MX12" s="54"/>
      <c r="MY12" s="54"/>
      <c r="MZ12" s="3"/>
      <c r="NA12" s="3"/>
    </row>
    <row r="13" spans="1:365" ht="14.25" x14ac:dyDescent="0.2">
      <c r="A13" s="55" t="s">
        <v>12</v>
      </c>
      <c r="B13" s="55"/>
      <c r="C13" s="56">
        <f>SUM(D13:MW13)</f>
        <v>100508638.8999999</v>
      </c>
      <c r="D13" s="47">
        <v>0</v>
      </c>
      <c r="E13" s="47">
        <v>478.7</v>
      </c>
      <c r="F13" s="47"/>
      <c r="G13" s="47">
        <v>0</v>
      </c>
      <c r="H13" s="47">
        <v>0</v>
      </c>
      <c r="I13" s="47">
        <v>100</v>
      </c>
      <c r="J13" s="47">
        <v>54000</v>
      </c>
      <c r="K13" s="47">
        <v>4208.8999999999996</v>
      </c>
      <c r="L13" s="47">
        <v>11243.2</v>
      </c>
      <c r="M13" s="47"/>
      <c r="N13" s="47">
        <v>2730</v>
      </c>
      <c r="O13" s="57">
        <v>23995899.399999999</v>
      </c>
      <c r="P13" s="47">
        <v>4144.3999999999996</v>
      </c>
      <c r="Q13" s="47">
        <v>0</v>
      </c>
      <c r="R13" s="47">
        <v>3280</v>
      </c>
      <c r="S13" s="47">
        <v>602.29999999999995</v>
      </c>
      <c r="T13" s="47">
        <v>26420.7</v>
      </c>
      <c r="U13" s="47"/>
      <c r="V13" s="47">
        <v>218154.5</v>
      </c>
      <c r="W13" s="47">
        <v>2400</v>
      </c>
      <c r="X13" s="47">
        <f>30+200.4</f>
        <v>230.4</v>
      </c>
      <c r="Y13" s="47"/>
      <c r="Z13" s="47">
        <v>1500</v>
      </c>
      <c r="AA13" s="47"/>
      <c r="AB13" s="47">
        <v>901650.9</v>
      </c>
      <c r="AC13" s="47">
        <v>91.3</v>
      </c>
      <c r="AD13" s="47"/>
      <c r="AE13" s="47">
        <v>35463</v>
      </c>
      <c r="AF13" s="47"/>
      <c r="AG13" s="47">
        <v>114725.4</v>
      </c>
      <c r="AH13" s="47"/>
      <c r="AI13" s="47">
        <v>300</v>
      </c>
      <c r="AJ13" s="47"/>
      <c r="AK13" s="47">
        <v>5</v>
      </c>
      <c r="AL13" s="47"/>
      <c r="AM13" s="47">
        <v>3000</v>
      </c>
      <c r="AN13" s="47">
        <v>517.9</v>
      </c>
      <c r="AO13" s="47"/>
      <c r="AP13" s="47">
        <v>1608.5</v>
      </c>
      <c r="AQ13" s="47"/>
      <c r="AR13" s="47">
        <v>6310959.5999999996</v>
      </c>
      <c r="AS13" s="57">
        <v>23423089.899999999</v>
      </c>
      <c r="AT13" s="47"/>
      <c r="AU13" s="47">
        <v>50</v>
      </c>
      <c r="AV13" s="47"/>
      <c r="AW13" s="47">
        <v>5</v>
      </c>
      <c r="AX13" s="47">
        <v>48440.4</v>
      </c>
      <c r="AY13" s="47">
        <v>21626.9</v>
      </c>
      <c r="AZ13" s="47"/>
      <c r="BA13" s="47">
        <v>195.2</v>
      </c>
      <c r="BB13" s="47">
        <v>4315.8999999999996</v>
      </c>
      <c r="BC13" s="47">
        <v>10993.9</v>
      </c>
      <c r="BD13" s="47">
        <v>5.6</v>
      </c>
      <c r="BE13" s="47">
        <v>34.200000000000003</v>
      </c>
      <c r="BF13" s="47">
        <v>0.5</v>
      </c>
      <c r="BG13" s="47">
        <v>164422.9</v>
      </c>
      <c r="BH13" s="47">
        <v>123.7</v>
      </c>
      <c r="BI13" s="47">
        <v>142.9</v>
      </c>
      <c r="BJ13" s="47">
        <v>4674.1000000000004</v>
      </c>
      <c r="BK13" s="47"/>
      <c r="BL13" s="47">
        <v>500</v>
      </c>
      <c r="BM13" s="47">
        <v>13088.9</v>
      </c>
      <c r="BN13" s="47"/>
      <c r="BO13" s="47"/>
      <c r="BP13" s="47">
        <v>60</v>
      </c>
      <c r="BQ13" s="47">
        <v>1825</v>
      </c>
      <c r="BR13" s="47">
        <v>0.1</v>
      </c>
      <c r="BS13" s="47"/>
      <c r="BT13" s="47">
        <v>300</v>
      </c>
      <c r="BU13" s="47"/>
      <c r="BV13" s="47">
        <v>1045.8</v>
      </c>
      <c r="BW13" s="47">
        <v>318.2</v>
      </c>
      <c r="BX13" s="47">
        <v>2505.8000000000002</v>
      </c>
      <c r="BY13" s="47">
        <v>20</v>
      </c>
      <c r="BZ13" s="47">
        <v>3214.7</v>
      </c>
      <c r="CA13" s="47">
        <v>800</v>
      </c>
      <c r="CB13" s="47">
        <v>1</v>
      </c>
      <c r="CC13" s="47">
        <v>500</v>
      </c>
      <c r="CD13" s="47">
        <v>4527.1000000000004</v>
      </c>
      <c r="CE13" s="47"/>
      <c r="CF13" s="47"/>
      <c r="CG13" s="47"/>
      <c r="CH13" s="47">
        <v>5509.9</v>
      </c>
      <c r="CI13" s="47"/>
      <c r="CJ13" s="47">
        <v>853693.8</v>
      </c>
      <c r="CK13" s="47"/>
      <c r="CL13" s="47">
        <v>25836.9</v>
      </c>
      <c r="CM13" s="47">
        <v>11525430.6</v>
      </c>
      <c r="CN13" s="47"/>
      <c r="CO13" s="47">
        <v>2898.1</v>
      </c>
      <c r="CP13" s="47">
        <v>51694.6</v>
      </c>
      <c r="CQ13" s="47">
        <v>100</v>
      </c>
      <c r="CR13" s="47"/>
      <c r="CS13" s="47">
        <v>5</v>
      </c>
      <c r="CT13" s="47"/>
      <c r="CU13" s="47">
        <v>768.1</v>
      </c>
      <c r="CV13" s="47">
        <v>765.7</v>
      </c>
      <c r="CW13" s="47">
        <v>30100</v>
      </c>
      <c r="CX13" s="47">
        <v>73.8</v>
      </c>
      <c r="CY13" s="47">
        <v>150728.29999999999</v>
      </c>
      <c r="CZ13" s="47"/>
      <c r="DA13" s="47">
        <v>4462.1000000000004</v>
      </c>
      <c r="DB13" s="47"/>
      <c r="DC13" s="47">
        <v>1222.7</v>
      </c>
      <c r="DD13" s="47"/>
      <c r="DE13" s="47">
        <v>28325.200000000001</v>
      </c>
      <c r="DF13" s="47">
        <v>154.4</v>
      </c>
      <c r="DG13" s="47"/>
      <c r="DH13" s="47"/>
      <c r="DI13" s="47">
        <v>913.4</v>
      </c>
      <c r="DJ13" s="47"/>
      <c r="DK13" s="47">
        <v>45.6</v>
      </c>
      <c r="DL13" s="47"/>
      <c r="DM13" s="47">
        <v>2416.5</v>
      </c>
      <c r="DN13" s="47">
        <v>10</v>
      </c>
      <c r="DO13" s="47">
        <v>10</v>
      </c>
      <c r="DP13" s="47">
        <v>1444.8</v>
      </c>
      <c r="DQ13" s="47">
        <v>76826.8</v>
      </c>
      <c r="DR13" s="47"/>
      <c r="DS13" s="47">
        <v>53.7</v>
      </c>
      <c r="DT13" s="47">
        <v>5</v>
      </c>
      <c r="DU13" s="47">
        <v>95.5</v>
      </c>
      <c r="DV13" s="47"/>
      <c r="DW13" s="47"/>
      <c r="DX13" s="47"/>
      <c r="DY13" s="47">
        <v>4812.2</v>
      </c>
      <c r="DZ13" s="47"/>
      <c r="EA13" s="47">
        <v>2610</v>
      </c>
      <c r="EB13" s="47">
        <v>6264.8</v>
      </c>
      <c r="EC13" s="47">
        <v>5639.1</v>
      </c>
      <c r="ED13" s="47">
        <v>924.1</v>
      </c>
      <c r="EE13" s="47"/>
      <c r="EF13" s="47">
        <v>7137.7</v>
      </c>
      <c r="EG13" s="47"/>
      <c r="EH13" s="47">
        <v>173.2</v>
      </c>
      <c r="EI13" s="47"/>
      <c r="EJ13" s="47">
        <v>5</v>
      </c>
      <c r="EK13" s="47"/>
      <c r="EL13" s="47">
        <v>5</v>
      </c>
      <c r="EM13" s="47">
        <v>10.7</v>
      </c>
      <c r="EN13" s="47">
        <v>4253241.0999999996</v>
      </c>
      <c r="EO13" s="47">
        <v>416</v>
      </c>
      <c r="EP13" s="47">
        <v>47500</v>
      </c>
      <c r="EQ13" s="47">
        <v>662.3</v>
      </c>
      <c r="ER13" s="47">
        <v>935.9</v>
      </c>
      <c r="ES13" s="47">
        <v>321</v>
      </c>
      <c r="ET13" s="47">
        <v>846.2</v>
      </c>
      <c r="EU13" s="47">
        <v>375.8</v>
      </c>
      <c r="EV13" s="47">
        <v>0.1</v>
      </c>
      <c r="EW13" s="47">
        <v>7436.2</v>
      </c>
      <c r="EX13" s="47">
        <v>10.6</v>
      </c>
      <c r="EY13" s="47">
        <v>26194.9</v>
      </c>
      <c r="EZ13" s="47">
        <v>7397</v>
      </c>
      <c r="FA13" s="47">
        <v>620675.80000000005</v>
      </c>
      <c r="FB13" s="47">
        <v>3055.9</v>
      </c>
      <c r="FC13" s="47">
        <v>21000</v>
      </c>
      <c r="FD13" s="47">
        <v>5</v>
      </c>
      <c r="FE13" s="47"/>
      <c r="FF13" s="47">
        <v>2178.8000000000002</v>
      </c>
      <c r="FG13" s="47">
        <v>2300</v>
      </c>
      <c r="FH13" s="47">
        <v>2033.5</v>
      </c>
      <c r="FI13" s="47"/>
      <c r="FJ13" s="47">
        <v>10</v>
      </c>
      <c r="FK13" s="47">
        <v>2178.4</v>
      </c>
      <c r="FL13" s="47">
        <v>840.2</v>
      </c>
      <c r="FM13" s="47">
        <v>89223.4</v>
      </c>
      <c r="FN13" s="47"/>
      <c r="FO13" s="47">
        <v>358.1</v>
      </c>
      <c r="FP13" s="47"/>
      <c r="FQ13" s="47"/>
      <c r="FR13" s="47">
        <v>14687284.6</v>
      </c>
      <c r="FS13" s="47">
        <v>3059171.2</v>
      </c>
      <c r="FT13" s="47">
        <v>1650663.8</v>
      </c>
      <c r="FU13" s="47">
        <v>30719.599999999999</v>
      </c>
      <c r="FV13" s="47">
        <v>79500</v>
      </c>
      <c r="FW13" s="47">
        <v>4502.5</v>
      </c>
      <c r="FX13" s="47">
        <v>15000</v>
      </c>
      <c r="FY13" s="47"/>
      <c r="FZ13" s="47">
        <v>4336</v>
      </c>
      <c r="GA13" s="47">
        <v>50763.6</v>
      </c>
      <c r="GB13" s="47">
        <v>94</v>
      </c>
      <c r="GC13" s="47">
        <v>17925.8</v>
      </c>
      <c r="GD13" s="47">
        <v>1392.6</v>
      </c>
      <c r="GE13" s="47">
        <v>6000</v>
      </c>
      <c r="GF13" s="47">
        <v>29028</v>
      </c>
      <c r="GG13" s="47">
        <v>14048.9</v>
      </c>
      <c r="GH13" s="47">
        <v>10</v>
      </c>
      <c r="GI13" s="47"/>
      <c r="GJ13" s="47">
        <v>5</v>
      </c>
      <c r="GK13" s="47">
        <v>150</v>
      </c>
      <c r="GL13" s="47">
        <v>10</v>
      </c>
      <c r="GM13" s="47">
        <v>216.1</v>
      </c>
      <c r="GN13" s="47">
        <v>31539.8</v>
      </c>
      <c r="GO13" s="47">
        <v>0.1</v>
      </c>
      <c r="GP13" s="47"/>
      <c r="GQ13" s="47"/>
      <c r="GR13" s="47"/>
      <c r="GS13" s="47"/>
      <c r="GT13" s="47">
        <v>10</v>
      </c>
      <c r="GU13" s="47">
        <v>263.5</v>
      </c>
      <c r="GV13" s="47"/>
      <c r="GW13" s="47"/>
      <c r="GX13" s="47"/>
      <c r="GY13" s="47">
        <v>682.6</v>
      </c>
      <c r="GZ13" s="47">
        <v>0.5</v>
      </c>
      <c r="HA13" s="47"/>
      <c r="HB13" s="47">
        <v>12128.5</v>
      </c>
      <c r="HC13" s="47">
        <v>1320</v>
      </c>
      <c r="HD13" s="47">
        <v>50</v>
      </c>
      <c r="HE13" s="47">
        <v>20</v>
      </c>
      <c r="HF13" s="47"/>
      <c r="HG13" s="47">
        <v>436.7</v>
      </c>
      <c r="HH13" s="47">
        <v>436.7</v>
      </c>
      <c r="HI13" s="47">
        <v>1919.5</v>
      </c>
      <c r="HJ13" s="47"/>
      <c r="HK13" s="47">
        <v>1</v>
      </c>
      <c r="HL13" s="47">
        <v>8718.5</v>
      </c>
      <c r="HM13" s="47">
        <v>500</v>
      </c>
      <c r="HN13" s="47"/>
      <c r="HO13" s="47">
        <v>100</v>
      </c>
      <c r="HP13" s="47"/>
      <c r="HQ13" s="47"/>
      <c r="HR13" s="47"/>
      <c r="HS13" s="47">
        <v>27888.3</v>
      </c>
      <c r="HT13" s="47"/>
      <c r="HU13" s="47">
        <v>1095.0999999999999</v>
      </c>
      <c r="HV13" s="47">
        <v>100</v>
      </c>
      <c r="HW13" s="47">
        <v>0.1</v>
      </c>
      <c r="HX13" s="47"/>
      <c r="HY13" s="47">
        <v>60</v>
      </c>
      <c r="HZ13" s="47">
        <v>39060.6</v>
      </c>
      <c r="IA13" s="47">
        <v>18.8</v>
      </c>
      <c r="IB13" s="47">
        <f>11005+11005</f>
        <v>22010</v>
      </c>
      <c r="IC13" s="47">
        <v>5</v>
      </c>
      <c r="ID13" s="47">
        <v>102638.9</v>
      </c>
      <c r="IE13" s="47"/>
      <c r="IF13" s="47"/>
      <c r="IG13" s="47"/>
      <c r="IH13" s="47"/>
      <c r="II13" s="47">
        <v>150</v>
      </c>
      <c r="IJ13" s="47"/>
      <c r="IK13" s="47"/>
      <c r="IL13" s="47">
        <v>20</v>
      </c>
      <c r="IM13" s="47"/>
      <c r="IN13" s="47"/>
      <c r="IO13" s="47"/>
      <c r="IP13" s="47">
        <v>981.7</v>
      </c>
      <c r="IQ13" s="47"/>
      <c r="IR13" s="47"/>
      <c r="IS13" s="47">
        <v>300</v>
      </c>
      <c r="IT13" s="47">
        <v>10</v>
      </c>
      <c r="IU13" s="47">
        <v>25005.7</v>
      </c>
      <c r="IV13" s="47"/>
      <c r="IW13" s="47"/>
      <c r="IX13" s="47"/>
      <c r="IY13" s="47">
        <v>65.8</v>
      </c>
      <c r="IZ13" s="47">
        <v>100</v>
      </c>
      <c r="JA13" s="47"/>
      <c r="JB13" s="47">
        <v>0.1</v>
      </c>
      <c r="JC13" s="47"/>
      <c r="JD13" s="47"/>
      <c r="JE13" s="47"/>
      <c r="JF13" s="47">
        <v>286</v>
      </c>
      <c r="JG13" s="47"/>
      <c r="JH13" s="47">
        <v>1000</v>
      </c>
      <c r="JI13" s="47"/>
      <c r="JJ13" s="47">
        <v>92.4</v>
      </c>
      <c r="JK13" s="47"/>
      <c r="JL13" s="47"/>
      <c r="JM13" s="47">
        <v>24188.9</v>
      </c>
      <c r="JN13" s="47"/>
      <c r="JO13" s="47"/>
      <c r="JP13" s="47"/>
      <c r="JQ13" s="47">
        <f>0.1+1400</f>
        <v>1400.1</v>
      </c>
      <c r="JR13" s="47"/>
      <c r="JS13" s="47">
        <v>5</v>
      </c>
      <c r="JT13" s="47"/>
      <c r="JU13" s="47">
        <v>10</v>
      </c>
      <c r="JV13" s="47">
        <v>10</v>
      </c>
      <c r="JW13" s="47">
        <v>17995.5</v>
      </c>
      <c r="JX13" s="47"/>
      <c r="JY13" s="47">
        <v>80</v>
      </c>
      <c r="JZ13" s="47"/>
      <c r="KA13" s="47">
        <v>89</v>
      </c>
      <c r="KB13" s="47">
        <v>64</v>
      </c>
      <c r="KC13" s="47"/>
      <c r="KD13" s="47"/>
      <c r="KE13" s="47"/>
      <c r="KF13" s="47"/>
      <c r="KG13" s="47">
        <v>9557.9</v>
      </c>
      <c r="KH13" s="47">
        <v>3597.2</v>
      </c>
      <c r="KI13" s="47">
        <v>111</v>
      </c>
      <c r="KJ13" s="47">
        <v>60.5</v>
      </c>
      <c r="KK13" s="47"/>
      <c r="KL13" s="47">
        <v>82.9</v>
      </c>
      <c r="KM13" s="47">
        <v>120.5</v>
      </c>
      <c r="KN13" s="47"/>
      <c r="KO13" s="47">
        <v>5</v>
      </c>
      <c r="KP13" s="47">
        <v>5357.9</v>
      </c>
      <c r="KQ13" s="47">
        <v>1500</v>
      </c>
      <c r="KR13" s="47">
        <v>1715</v>
      </c>
      <c r="KS13" s="47">
        <v>50</v>
      </c>
      <c r="KT13" s="47"/>
      <c r="KU13" s="47">
        <v>122</v>
      </c>
      <c r="KV13" s="47"/>
      <c r="KW13" s="47">
        <v>505627.6</v>
      </c>
      <c r="KX13" s="47"/>
      <c r="KY13" s="47"/>
      <c r="KZ13" s="47"/>
      <c r="LA13" s="47">
        <v>110</v>
      </c>
      <c r="LB13" s="47">
        <v>300</v>
      </c>
      <c r="LC13" s="47">
        <v>10</v>
      </c>
      <c r="LD13" s="47">
        <v>248.8</v>
      </c>
      <c r="LE13" s="47">
        <v>1199.5999999999999</v>
      </c>
      <c r="LF13" s="47">
        <v>5278886.5</v>
      </c>
      <c r="LG13" s="47">
        <v>17899.3</v>
      </c>
      <c r="LH13" s="47">
        <v>120</v>
      </c>
      <c r="LI13" s="47">
        <v>0.1</v>
      </c>
      <c r="LJ13" s="47"/>
      <c r="LK13" s="47">
        <v>10</v>
      </c>
      <c r="LL13" s="47"/>
      <c r="LM13" s="47">
        <v>30</v>
      </c>
      <c r="LN13" s="47">
        <v>48785.4</v>
      </c>
      <c r="LO13" s="47">
        <v>394.8</v>
      </c>
      <c r="LP13" s="47"/>
      <c r="LQ13" s="47">
        <v>10</v>
      </c>
      <c r="LR13" s="47">
        <v>2576.1</v>
      </c>
      <c r="LS13" s="47">
        <v>0.1</v>
      </c>
      <c r="LT13" s="47"/>
      <c r="LU13" s="47">
        <v>10</v>
      </c>
      <c r="LV13" s="47">
        <v>8000</v>
      </c>
      <c r="LW13" s="47">
        <v>337.1</v>
      </c>
      <c r="LX13" s="47">
        <v>278.8</v>
      </c>
      <c r="LY13" s="47"/>
      <c r="LZ13" s="47">
        <v>10</v>
      </c>
      <c r="MA13" s="47"/>
      <c r="MB13" s="47">
        <v>563.5</v>
      </c>
      <c r="MC13" s="47">
        <v>20</v>
      </c>
      <c r="MD13" s="47">
        <v>56.2</v>
      </c>
      <c r="ME13" s="47">
        <v>190.4</v>
      </c>
      <c r="MF13" s="47">
        <v>61.5</v>
      </c>
      <c r="MG13" s="47">
        <v>298</v>
      </c>
      <c r="MH13" s="47"/>
      <c r="MI13" s="47"/>
      <c r="MJ13" s="47"/>
      <c r="MK13" s="47">
        <v>1536.5</v>
      </c>
      <c r="ML13" s="47">
        <v>1363684.3</v>
      </c>
      <c r="MM13" s="47"/>
      <c r="MN13" s="47">
        <v>57</v>
      </c>
      <c r="MO13" s="47"/>
      <c r="MP13" s="47"/>
      <c r="MQ13" s="47">
        <v>432.9</v>
      </c>
      <c r="MR13" s="47"/>
      <c r="MS13" s="47">
        <v>0.5</v>
      </c>
      <c r="MT13" s="47">
        <v>8.6</v>
      </c>
      <c r="MU13" s="47">
        <v>10</v>
      </c>
      <c r="MV13" s="47">
        <v>5</v>
      </c>
      <c r="MW13" s="47"/>
      <c r="MX13" s="14"/>
      <c r="MY13" s="14"/>
      <c r="MZ13" s="2"/>
      <c r="NA13" s="2"/>
    </row>
    <row r="14" spans="1:365" ht="15" x14ac:dyDescent="0.25">
      <c r="A14" s="56" t="s">
        <v>13</v>
      </c>
      <c r="B14" s="56"/>
      <c r="C14" s="56">
        <f>SUM(D14:MW14)</f>
        <v>12564434.000000004</v>
      </c>
      <c r="D14" s="58">
        <v>0</v>
      </c>
      <c r="E14" s="58"/>
      <c r="F14" s="58"/>
      <c r="G14" s="58">
        <v>0</v>
      </c>
      <c r="H14" s="58">
        <v>0</v>
      </c>
      <c r="I14" s="58"/>
      <c r="J14" s="58"/>
      <c r="K14" s="58">
        <v>709.7</v>
      </c>
      <c r="L14" s="58"/>
      <c r="M14" s="58">
        <v>992.5</v>
      </c>
      <c r="N14" s="58">
        <v>4409.8999999999996</v>
      </c>
      <c r="O14" s="58">
        <v>6483309.5</v>
      </c>
      <c r="P14" s="58"/>
      <c r="Q14" s="58">
        <v>0</v>
      </c>
      <c r="R14" s="58"/>
      <c r="S14" s="58"/>
      <c r="T14" s="58"/>
      <c r="U14" s="58">
        <v>547.29999999999995</v>
      </c>
      <c r="V14" s="58">
        <v>165884.79999999999</v>
      </c>
      <c r="W14" s="58"/>
      <c r="X14" s="58"/>
      <c r="Y14" s="58">
        <v>57510.9</v>
      </c>
      <c r="Z14" s="58"/>
      <c r="AA14" s="58"/>
      <c r="AB14" s="58"/>
      <c r="AC14" s="58"/>
      <c r="AD14" s="58"/>
      <c r="AE14" s="58">
        <v>32299.9</v>
      </c>
      <c r="AF14" s="58"/>
      <c r="AG14" s="58">
        <v>127138.5</v>
      </c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>
        <v>1531674.3</v>
      </c>
      <c r="AS14" s="58">
        <v>17626.8</v>
      </c>
      <c r="AT14" s="58">
        <v>10891.4</v>
      </c>
      <c r="AU14" s="58"/>
      <c r="AV14" s="58">
        <v>577.6</v>
      </c>
      <c r="AW14" s="58">
        <v>319.8</v>
      </c>
      <c r="AX14" s="58">
        <v>385651.4</v>
      </c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>
        <v>1297.5</v>
      </c>
      <c r="BM14" s="58">
        <v>35380</v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>
        <v>589.9</v>
      </c>
      <c r="CI14" s="58"/>
      <c r="CJ14" s="58">
        <v>242030.5</v>
      </c>
      <c r="CK14" s="58"/>
      <c r="CL14" s="58">
        <v>218.3</v>
      </c>
      <c r="CM14" s="58">
        <v>1039600.2</v>
      </c>
      <c r="CN14" s="58"/>
      <c r="CO14" s="58"/>
      <c r="CP14" s="58">
        <v>60274</v>
      </c>
      <c r="CQ14" s="58"/>
      <c r="CR14" s="58"/>
      <c r="CS14" s="58">
        <v>1928.8</v>
      </c>
      <c r="CT14" s="58"/>
      <c r="CU14" s="58">
        <v>49.5</v>
      </c>
      <c r="CV14" s="58"/>
      <c r="CW14" s="58">
        <v>4936.3999999999996</v>
      </c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>
        <v>2497.1999999999998</v>
      </c>
      <c r="DM14" s="58"/>
      <c r="DN14" s="58"/>
      <c r="DO14" s="58"/>
      <c r="DP14" s="58">
        <v>23375.7</v>
      </c>
      <c r="DQ14" s="58">
        <v>12725.4</v>
      </c>
      <c r="DR14" s="58"/>
      <c r="DS14" s="58">
        <v>575.4</v>
      </c>
      <c r="DT14" s="58">
        <v>9749.1</v>
      </c>
      <c r="DU14" s="58"/>
      <c r="DV14" s="58"/>
      <c r="DW14" s="58"/>
      <c r="DX14" s="58"/>
      <c r="DY14" s="58"/>
      <c r="DZ14" s="58">
        <v>21244.400000000001</v>
      </c>
      <c r="EA14" s="58"/>
      <c r="EB14" s="58">
        <v>1624.5</v>
      </c>
      <c r="EC14" s="58"/>
      <c r="ED14" s="58"/>
      <c r="EE14" s="58"/>
      <c r="EF14" s="58">
        <v>5112.8999999999996</v>
      </c>
      <c r="EG14" s="58"/>
      <c r="EH14" s="58"/>
      <c r="EI14" s="58">
        <v>288.3</v>
      </c>
      <c r="EJ14" s="58"/>
      <c r="EK14" s="58"/>
      <c r="EL14" s="58">
        <v>641.1</v>
      </c>
      <c r="EM14" s="58"/>
      <c r="EN14" s="58">
        <v>172959.4</v>
      </c>
      <c r="EO14" s="58"/>
      <c r="EP14" s="58">
        <v>11640.3</v>
      </c>
      <c r="EQ14" s="58"/>
      <c r="ER14" s="58"/>
      <c r="ES14" s="58"/>
      <c r="ET14" s="58"/>
      <c r="EU14" s="58"/>
      <c r="EV14" s="58"/>
      <c r="EW14" s="58">
        <v>6086.1</v>
      </c>
      <c r="EX14" s="58"/>
      <c r="EY14" s="58">
        <v>22626.1</v>
      </c>
      <c r="EZ14" s="58"/>
      <c r="FA14" s="58">
        <v>66804.5</v>
      </c>
      <c r="FB14" s="58"/>
      <c r="FC14" s="58">
        <v>282023</v>
      </c>
      <c r="FD14" s="58"/>
      <c r="FE14" s="58"/>
      <c r="FF14" s="58"/>
      <c r="FG14" s="58"/>
      <c r="FH14" s="58"/>
      <c r="FI14" s="58"/>
      <c r="FJ14" s="58"/>
      <c r="FK14" s="58">
        <v>80697</v>
      </c>
      <c r="FL14" s="58">
        <v>8682.1</v>
      </c>
      <c r="FM14" s="58">
        <v>102432.3</v>
      </c>
      <c r="FN14" s="58"/>
      <c r="FO14" s="58"/>
      <c r="FP14" s="58"/>
      <c r="FQ14" s="58">
        <v>290590.40000000002</v>
      </c>
      <c r="FR14" s="58">
        <v>15257</v>
      </c>
      <c r="FS14" s="58">
        <v>104349.4</v>
      </c>
      <c r="FT14" s="58">
        <v>106569.2</v>
      </c>
      <c r="FU14" s="58">
        <v>4246.2</v>
      </c>
      <c r="FV14" s="58">
        <v>7746</v>
      </c>
      <c r="FW14" s="58"/>
      <c r="FX14" s="58">
        <v>51184.4</v>
      </c>
      <c r="FY14" s="58"/>
      <c r="FZ14" s="58"/>
      <c r="GA14" s="58">
        <v>1516.8</v>
      </c>
      <c r="GB14" s="58"/>
      <c r="GC14" s="58"/>
      <c r="GD14" s="58">
        <v>8991.1</v>
      </c>
      <c r="GE14" s="58"/>
      <c r="GF14" s="58"/>
      <c r="GG14" s="58"/>
      <c r="GH14" s="58">
        <v>3806</v>
      </c>
      <c r="GI14" s="58">
        <v>51504.4</v>
      </c>
      <c r="GJ14" s="58"/>
      <c r="GK14" s="58"/>
      <c r="GL14" s="58"/>
      <c r="GM14" s="58"/>
      <c r="GN14" s="58">
        <v>1450.6</v>
      </c>
      <c r="GO14" s="58"/>
      <c r="GP14" s="58"/>
      <c r="GQ14" s="58">
        <v>7987</v>
      </c>
      <c r="GR14" s="58"/>
      <c r="GS14" s="58"/>
      <c r="GT14" s="58"/>
      <c r="GU14" s="58"/>
      <c r="GV14" s="58"/>
      <c r="GW14" s="58"/>
      <c r="GX14" s="58"/>
      <c r="GY14" s="58"/>
      <c r="GZ14" s="58">
        <v>7045.4</v>
      </c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>
        <v>21100.1</v>
      </c>
      <c r="HO14" s="58"/>
      <c r="HP14" s="58"/>
      <c r="HQ14" s="58"/>
      <c r="HR14" s="58"/>
      <c r="HS14" s="58">
        <v>148610.20000000001</v>
      </c>
      <c r="HT14" s="58"/>
      <c r="HU14" s="58"/>
      <c r="HV14" s="58"/>
      <c r="HW14" s="58"/>
      <c r="HX14" s="58"/>
      <c r="HY14" s="58"/>
      <c r="HZ14" s="58"/>
      <c r="IA14" s="58"/>
      <c r="IB14" s="58">
        <v>17551.5</v>
      </c>
      <c r="IC14" s="58"/>
      <c r="ID14" s="58">
        <v>148168.1</v>
      </c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>
        <v>687.1</v>
      </c>
      <c r="IV14" s="58"/>
      <c r="IW14" s="58"/>
      <c r="IX14" s="58"/>
      <c r="IY14" s="58"/>
      <c r="IZ14" s="58"/>
      <c r="JA14" s="58">
        <v>1468.3</v>
      </c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>
        <v>6391.3</v>
      </c>
      <c r="JP14" s="58"/>
      <c r="JQ14" s="58"/>
      <c r="JR14" s="58"/>
      <c r="JS14" s="58"/>
      <c r="JT14" s="58"/>
      <c r="JU14" s="58"/>
      <c r="JV14" s="58">
        <v>898.6</v>
      </c>
      <c r="JW14" s="58"/>
      <c r="JX14" s="58"/>
      <c r="JY14" s="58"/>
      <c r="JZ14" s="58"/>
      <c r="KA14" s="58">
        <v>212.3</v>
      </c>
      <c r="KB14" s="58"/>
      <c r="KC14" s="58">
        <v>713.5</v>
      </c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>
        <v>1355.8</v>
      </c>
      <c r="KS14" s="58"/>
      <c r="KT14" s="58"/>
      <c r="KU14" s="58"/>
      <c r="KV14" s="58"/>
      <c r="KW14" s="58"/>
      <c r="KX14" s="58"/>
      <c r="KY14" s="58"/>
      <c r="KZ14" s="58"/>
      <c r="LA14" s="58"/>
      <c r="LB14" s="58"/>
      <c r="LC14" s="58"/>
      <c r="LD14" s="58"/>
      <c r="LE14" s="58"/>
      <c r="LF14" s="58">
        <v>318167.59999999998</v>
      </c>
      <c r="LG14" s="58">
        <v>2546</v>
      </c>
      <c r="LH14" s="58"/>
      <c r="LI14" s="58"/>
      <c r="LJ14" s="58"/>
      <c r="LK14" s="58">
        <v>101.1</v>
      </c>
      <c r="LL14" s="58"/>
      <c r="LM14" s="58"/>
      <c r="LN14" s="58"/>
      <c r="LO14" s="58"/>
      <c r="LP14" s="58"/>
      <c r="LQ14" s="58"/>
      <c r="LR14" s="58"/>
      <c r="LS14" s="58"/>
      <c r="LT14" s="58"/>
      <c r="LU14" s="58"/>
      <c r="LV14" s="58"/>
      <c r="LW14" s="58"/>
      <c r="LX14" s="58">
        <v>12500.1</v>
      </c>
      <c r="LY14" s="58"/>
      <c r="LZ14" s="58"/>
      <c r="MA14" s="58"/>
      <c r="MB14" s="58"/>
      <c r="MC14" s="58"/>
      <c r="MD14" s="58"/>
      <c r="ME14" s="58">
        <v>300.2</v>
      </c>
      <c r="MF14" s="58"/>
      <c r="MG14" s="58"/>
      <c r="MH14" s="58"/>
      <c r="MI14" s="58">
        <v>13710.6</v>
      </c>
      <c r="MJ14" s="58"/>
      <c r="MK14" s="58">
        <v>370.5</v>
      </c>
      <c r="ML14" s="58">
        <v>154156.6</v>
      </c>
      <c r="MM14" s="58">
        <v>492.5</v>
      </c>
      <c r="MN14" s="58"/>
      <c r="MO14" s="58"/>
      <c r="MP14" s="58"/>
      <c r="MQ14" s="58">
        <v>225.7</v>
      </c>
      <c r="MR14" s="58"/>
      <c r="MS14" s="58"/>
      <c r="MT14" s="58"/>
      <c r="MU14" s="58">
        <v>1118.8</v>
      </c>
      <c r="MV14" s="58"/>
      <c r="MW14" s="58">
        <v>13709.4</v>
      </c>
      <c r="MX14" s="8"/>
      <c r="MY14" s="8"/>
      <c r="MZ14" s="8"/>
      <c r="NA14" s="8"/>
    </row>
    <row r="15" spans="1:365" ht="14.25" x14ac:dyDescent="0.2">
      <c r="A15" s="55" t="s">
        <v>14</v>
      </c>
      <c r="B15" s="55"/>
      <c r="C15" s="56">
        <f t="shared" ref="C15:C54" si="11">SUM(D15:MW15)</f>
        <v>185979242.00000012</v>
      </c>
      <c r="D15" s="47">
        <v>0</v>
      </c>
      <c r="E15" s="47">
        <v>2363.1999999999998</v>
      </c>
      <c r="F15" s="47">
        <v>244638.5</v>
      </c>
      <c r="G15" s="47">
        <v>0</v>
      </c>
      <c r="H15" s="47">
        <v>0</v>
      </c>
      <c r="I15" s="47"/>
      <c r="J15" s="47"/>
      <c r="K15" s="47"/>
      <c r="L15" s="47">
        <v>58211.1</v>
      </c>
      <c r="M15" s="47"/>
      <c r="N15" s="47"/>
      <c r="O15" s="57">
        <v>170257543.80000001</v>
      </c>
      <c r="P15" s="47"/>
      <c r="Q15" s="47">
        <v>0</v>
      </c>
      <c r="R15" s="47"/>
      <c r="S15" s="47">
        <v>4000</v>
      </c>
      <c r="T15" s="47">
        <v>13224.1</v>
      </c>
      <c r="U15" s="47"/>
      <c r="V15" s="47"/>
      <c r="W15" s="47">
        <v>6000</v>
      </c>
      <c r="X15" s="47"/>
      <c r="Y15" s="47">
        <v>4907.3</v>
      </c>
      <c r="Z15" s="47">
        <v>12968.2</v>
      </c>
      <c r="AA15" s="47">
        <v>14800.3</v>
      </c>
      <c r="AB15" s="47"/>
      <c r="AC15" s="47"/>
      <c r="AD15" s="47">
        <v>2043.3</v>
      </c>
      <c r="AE15" s="47">
        <v>499482.7</v>
      </c>
      <c r="AF15" s="47"/>
      <c r="AG15" s="47"/>
      <c r="AH15" s="47"/>
      <c r="AI15" s="47"/>
      <c r="AJ15" s="47"/>
      <c r="AK15" s="47"/>
      <c r="AL15" s="47">
        <v>2131.8000000000002</v>
      </c>
      <c r="AM15" s="47"/>
      <c r="AN15" s="47"/>
      <c r="AO15" s="47"/>
      <c r="AP15" s="47">
        <v>9223.7000000000007</v>
      </c>
      <c r="AQ15" s="47"/>
      <c r="AR15" s="47"/>
      <c r="AS15" s="57">
        <v>1810177.3</v>
      </c>
      <c r="AT15" s="47">
        <v>89291.9</v>
      </c>
      <c r="AU15" s="47"/>
      <c r="AV15" s="47"/>
      <c r="AW15" s="47">
        <v>43709.2</v>
      </c>
      <c r="AX15" s="47">
        <v>3396672.1</v>
      </c>
      <c r="AY15" s="47"/>
      <c r="AZ15" s="47">
        <v>6217</v>
      </c>
      <c r="BA15" s="47"/>
      <c r="BB15" s="47">
        <v>26047.5</v>
      </c>
      <c r="BC15" s="47">
        <v>128833.7</v>
      </c>
      <c r="BD15" s="47"/>
      <c r="BE15" s="47">
        <v>1160.8</v>
      </c>
      <c r="BF15" s="47"/>
      <c r="BG15" s="47">
        <v>317419.5</v>
      </c>
      <c r="BH15" s="47">
        <v>4447.3999999999996</v>
      </c>
      <c r="BI15" s="47">
        <v>2500.1999999999998</v>
      </c>
      <c r="BJ15" s="47">
        <v>45008.4</v>
      </c>
      <c r="BK15" s="47"/>
      <c r="BL15" s="47">
        <v>163012.6</v>
      </c>
      <c r="BM15" s="47"/>
      <c r="BN15" s="47">
        <v>13505</v>
      </c>
      <c r="BO15" s="47"/>
      <c r="BP15" s="47">
        <v>7588.8</v>
      </c>
      <c r="BQ15" s="47">
        <v>69780.5</v>
      </c>
      <c r="BR15" s="47"/>
      <c r="BS15" s="47"/>
      <c r="BT15" s="47">
        <v>2820.9</v>
      </c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>
        <v>5045</v>
      </c>
      <c r="CH15" s="47">
        <v>32581.9</v>
      </c>
      <c r="CI15" s="47"/>
      <c r="CJ15" s="47">
        <v>420245.9</v>
      </c>
      <c r="CK15" s="47"/>
      <c r="CL15" s="47"/>
      <c r="CM15" s="47"/>
      <c r="CN15" s="47">
        <v>1500</v>
      </c>
      <c r="CO15" s="47"/>
      <c r="CP15" s="47">
        <v>1171873.5</v>
      </c>
      <c r="CQ15" s="47"/>
      <c r="CR15" s="47"/>
      <c r="CS15" s="47">
        <v>1222</v>
      </c>
      <c r="CT15" s="47"/>
      <c r="CU15" s="47"/>
      <c r="CV15" s="47">
        <v>4292.3999999999996</v>
      </c>
      <c r="CW15" s="47"/>
      <c r="CX15" s="47"/>
      <c r="CY15" s="47">
        <v>528865.5</v>
      </c>
      <c r="CZ15" s="47"/>
      <c r="DA15" s="47"/>
      <c r="DB15" s="47"/>
      <c r="DC15" s="47"/>
      <c r="DD15" s="47"/>
      <c r="DE15" s="47">
        <v>10193</v>
      </c>
      <c r="DF15" s="47"/>
      <c r="DG15" s="47"/>
      <c r="DH15" s="47"/>
      <c r="DI15" s="47">
        <v>46997.1</v>
      </c>
      <c r="DJ15" s="47"/>
      <c r="DK15" s="47">
        <v>24316.7</v>
      </c>
      <c r="DL15" s="47">
        <v>43164.4</v>
      </c>
      <c r="DM15" s="47">
        <v>12449.1</v>
      </c>
      <c r="DN15" s="47"/>
      <c r="DO15" s="47">
        <v>17091.8</v>
      </c>
      <c r="DP15" s="47"/>
      <c r="DQ15" s="47"/>
      <c r="DR15" s="47"/>
      <c r="DS15" s="47"/>
      <c r="DT15" s="47"/>
      <c r="DU15" s="47"/>
      <c r="DV15" s="47">
        <v>42342.9</v>
      </c>
      <c r="DW15" s="47">
        <v>3.1</v>
      </c>
      <c r="DX15" s="47">
        <v>11409.3</v>
      </c>
      <c r="DY15" s="47">
        <v>109138</v>
      </c>
      <c r="DZ15" s="47">
        <v>104071</v>
      </c>
      <c r="EA15" s="47">
        <v>96943.1</v>
      </c>
      <c r="EB15" s="47">
        <v>171505.3</v>
      </c>
      <c r="EC15" s="47"/>
      <c r="ED15" s="47"/>
      <c r="EE15" s="47"/>
      <c r="EF15" s="47"/>
      <c r="EG15" s="47"/>
      <c r="EH15" s="47"/>
      <c r="EI15" s="47">
        <v>9591.7999999999993</v>
      </c>
      <c r="EJ15" s="47"/>
      <c r="EK15" s="47"/>
      <c r="EL15" s="47">
        <v>81218.2</v>
      </c>
      <c r="EM15" s="47">
        <v>6547.6</v>
      </c>
      <c r="EN15" s="47"/>
      <c r="EO15" s="47"/>
      <c r="EP15" s="47"/>
      <c r="EQ15" s="47">
        <v>45502.6</v>
      </c>
      <c r="ER15" s="47">
        <v>21315.200000000001</v>
      </c>
      <c r="ES15" s="47">
        <v>44031.4</v>
      </c>
      <c r="ET15" s="47"/>
      <c r="EU15" s="47"/>
      <c r="EV15" s="47">
        <v>13000</v>
      </c>
      <c r="EW15" s="47"/>
      <c r="EX15" s="47"/>
      <c r="EY15" s="47"/>
      <c r="EZ15" s="47"/>
      <c r="FA15" s="47">
        <v>2431726.7999999998</v>
      </c>
      <c r="FB15" s="47">
        <v>274176.90000000002</v>
      </c>
      <c r="FC15" s="47"/>
      <c r="FD15" s="47"/>
      <c r="FE15" s="47"/>
      <c r="FF15" s="47"/>
      <c r="FG15" s="47"/>
      <c r="FH15" s="47">
        <v>3500</v>
      </c>
      <c r="FI15" s="47"/>
      <c r="FJ15" s="47"/>
      <c r="FK15" s="47">
        <v>3829.4</v>
      </c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>
        <v>378490.4</v>
      </c>
      <c r="FX15" s="47"/>
      <c r="FY15" s="47"/>
      <c r="FZ15" s="47"/>
      <c r="GA15" s="47"/>
      <c r="GB15" s="47"/>
      <c r="GC15" s="47"/>
      <c r="GD15" s="47"/>
      <c r="GE15" s="47">
        <v>3500</v>
      </c>
      <c r="GF15" s="47"/>
      <c r="GG15" s="47">
        <v>30416.3</v>
      </c>
      <c r="GH15" s="47">
        <v>17669.599999999999</v>
      </c>
      <c r="GI15" s="47"/>
      <c r="GJ15" s="47"/>
      <c r="GK15" s="47">
        <v>1267.8</v>
      </c>
      <c r="GL15" s="47"/>
      <c r="GM15" s="47"/>
      <c r="GN15" s="47"/>
      <c r="GO15" s="47"/>
      <c r="GP15" s="47">
        <v>49774.2</v>
      </c>
      <c r="GQ15" s="47"/>
      <c r="GR15" s="47"/>
      <c r="GS15" s="47"/>
      <c r="GT15" s="47"/>
      <c r="GU15" s="47"/>
      <c r="GV15" s="47"/>
      <c r="GW15" s="47"/>
      <c r="GX15" s="47"/>
      <c r="GY15" s="47"/>
      <c r="GZ15" s="47">
        <v>3034.8</v>
      </c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>
        <v>11855.4</v>
      </c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>
        <v>43370.8</v>
      </c>
      <c r="HW15" s="47"/>
      <c r="HX15" s="47">
        <v>7039.1</v>
      </c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>
        <v>8521.7000000000007</v>
      </c>
      <c r="IN15" s="47"/>
      <c r="IO15" s="47"/>
      <c r="IP15" s="47">
        <v>40304.9</v>
      </c>
      <c r="IQ15" s="47"/>
      <c r="IR15" s="47">
        <v>110355.8</v>
      </c>
      <c r="IS15" s="47">
        <v>29214.7</v>
      </c>
      <c r="IT15" s="47"/>
      <c r="IU15" s="47"/>
      <c r="IV15" s="47"/>
      <c r="IW15" s="47">
        <v>35707.599999999999</v>
      </c>
      <c r="IX15" s="47">
        <v>9163.6</v>
      </c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>
        <v>20446</v>
      </c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>
        <v>132455.4</v>
      </c>
      <c r="JV15" s="47"/>
      <c r="JW15" s="47">
        <v>1691044.4</v>
      </c>
      <c r="JX15" s="47"/>
      <c r="JY15" s="47"/>
      <c r="JZ15" s="47"/>
      <c r="KA15" s="47"/>
      <c r="KB15" s="47"/>
      <c r="KC15" s="47"/>
      <c r="KD15" s="47"/>
      <c r="KE15" s="47"/>
      <c r="KF15" s="47"/>
      <c r="KG15" s="47">
        <v>152700.9</v>
      </c>
      <c r="KH15" s="47"/>
      <c r="KI15" s="47">
        <v>37794.400000000001</v>
      </c>
      <c r="KJ15" s="47"/>
      <c r="KK15" s="47"/>
      <c r="KL15" s="47"/>
      <c r="KM15" s="47">
        <v>20172.900000000001</v>
      </c>
      <c r="KN15" s="47"/>
      <c r="KO15" s="47"/>
      <c r="KP15" s="47"/>
      <c r="KQ15" s="47">
        <v>8070.2</v>
      </c>
      <c r="KR15" s="47"/>
      <c r="KS15" s="47"/>
      <c r="KT15" s="47">
        <v>2304.1</v>
      </c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>
        <v>23917.9</v>
      </c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>
        <v>61227.4</v>
      </c>
      <c r="MW15" s="47"/>
      <c r="MX15" s="14"/>
      <c r="MY15" s="14"/>
      <c r="MZ15" s="2"/>
      <c r="NA15" s="2"/>
    </row>
    <row r="16" spans="1:365" ht="14.25" x14ac:dyDescent="0.2">
      <c r="A16" s="55" t="s">
        <v>15</v>
      </c>
      <c r="B16" s="55"/>
      <c r="C16" s="56">
        <f t="shared" si="11"/>
        <v>2550155.5999999987</v>
      </c>
      <c r="D16" s="47">
        <v>0</v>
      </c>
      <c r="E16" s="47"/>
      <c r="F16" s="47"/>
      <c r="G16" s="47">
        <v>0</v>
      </c>
      <c r="H16" s="47">
        <v>0</v>
      </c>
      <c r="I16" s="47"/>
      <c r="J16" s="47"/>
      <c r="K16" s="47"/>
      <c r="L16" s="47">
        <v>300</v>
      </c>
      <c r="M16" s="47">
        <v>600</v>
      </c>
      <c r="N16" s="47"/>
      <c r="O16" s="57">
        <v>1808157.8</v>
      </c>
      <c r="P16" s="47"/>
      <c r="Q16" s="47">
        <v>0</v>
      </c>
      <c r="R16" s="47">
        <v>2302.1999999999998</v>
      </c>
      <c r="S16" s="47"/>
      <c r="T16" s="47"/>
      <c r="U16" s="47"/>
      <c r="V16" s="47">
        <f>8612.1+77979.1</f>
        <v>86591.200000000012</v>
      </c>
      <c r="W16" s="47"/>
      <c r="X16" s="47">
        <v>692</v>
      </c>
      <c r="Y16" s="47"/>
      <c r="Z16" s="47"/>
      <c r="AA16" s="47"/>
      <c r="AB16" s="47"/>
      <c r="AC16" s="47"/>
      <c r="AD16" s="47"/>
      <c r="AE16" s="47"/>
      <c r="AF16" s="47"/>
      <c r="AG16" s="47">
        <v>46825.9</v>
      </c>
      <c r="AH16" s="47"/>
      <c r="AI16" s="47"/>
      <c r="AJ16" s="47"/>
      <c r="AK16" s="47"/>
      <c r="AL16" s="47"/>
      <c r="AM16" s="47">
        <v>230.1</v>
      </c>
      <c r="AN16" s="47"/>
      <c r="AO16" s="47">
        <v>669</v>
      </c>
      <c r="AP16" s="47">
        <v>595.20000000000005</v>
      </c>
      <c r="AQ16" s="47"/>
      <c r="AR16" s="47">
        <f>4567.4+2368.5</f>
        <v>6935.9</v>
      </c>
      <c r="AS16" s="47"/>
      <c r="AT16" s="47"/>
      <c r="AU16" s="47"/>
      <c r="AV16" s="47"/>
      <c r="AW16" s="47">
        <v>4249.3</v>
      </c>
      <c r="AX16" s="47">
        <v>7937</v>
      </c>
      <c r="AY16" s="47"/>
      <c r="AZ16" s="47"/>
      <c r="BA16" s="47"/>
      <c r="BB16" s="47"/>
      <c r="BC16" s="47">
        <v>379.7</v>
      </c>
      <c r="BD16" s="47">
        <v>144</v>
      </c>
      <c r="BE16" s="47"/>
      <c r="BF16" s="47"/>
      <c r="BG16" s="47">
        <f>316.2+145.8+1176.7</f>
        <v>1638.7</v>
      </c>
      <c r="BH16" s="47"/>
      <c r="BI16" s="47"/>
      <c r="BJ16" s="47">
        <v>697.3</v>
      </c>
      <c r="BK16" s="47">
        <v>271.3</v>
      </c>
      <c r="BL16" s="47"/>
      <c r="BM16" s="47"/>
      <c r="BN16" s="47"/>
      <c r="BO16" s="47"/>
      <c r="BP16" s="47">
        <v>240</v>
      </c>
      <c r="BQ16" s="47"/>
      <c r="BR16" s="47"/>
      <c r="BS16" s="47"/>
      <c r="BT16" s="47"/>
      <c r="BU16" s="47"/>
      <c r="BV16" s="47"/>
      <c r="BW16" s="47"/>
      <c r="BX16" s="47"/>
      <c r="BY16" s="47"/>
      <c r="BZ16" s="47">
        <v>1499.9</v>
      </c>
      <c r="CA16" s="47"/>
      <c r="CB16" s="47"/>
      <c r="CC16" s="47">
        <v>1214.7</v>
      </c>
      <c r="CD16" s="47">
        <v>180</v>
      </c>
      <c r="CE16" s="47"/>
      <c r="CF16" s="47"/>
      <c r="CG16" s="47">
        <v>3820.9</v>
      </c>
      <c r="CH16" s="47">
        <v>797</v>
      </c>
      <c r="CI16" s="47"/>
      <c r="CJ16" s="47"/>
      <c r="CK16" s="47"/>
      <c r="CL16" s="47">
        <v>218</v>
      </c>
      <c r="CM16" s="47">
        <f>5446.6+6734.4+5012.1+8584.5</f>
        <v>25777.599999999999</v>
      </c>
      <c r="CN16" s="47">
        <v>500</v>
      </c>
      <c r="CO16" s="47">
        <v>2250</v>
      </c>
      <c r="CP16" s="47">
        <v>606</v>
      </c>
      <c r="CQ16" s="47"/>
      <c r="CR16" s="47"/>
      <c r="CS16" s="47"/>
      <c r="CT16" s="47"/>
      <c r="CU16" s="47">
        <v>179</v>
      </c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>
        <v>619.6</v>
      </c>
      <c r="DH16" s="47">
        <v>1413.5</v>
      </c>
      <c r="DI16" s="47">
        <v>54</v>
      </c>
      <c r="DJ16" s="47"/>
      <c r="DK16" s="47"/>
      <c r="DL16" s="47"/>
      <c r="DM16" s="47">
        <v>4.5</v>
      </c>
      <c r="DN16" s="47">
        <v>49.1</v>
      </c>
      <c r="DO16" s="47"/>
      <c r="DP16" s="47">
        <v>270</v>
      </c>
      <c r="DQ16" s="47"/>
      <c r="DR16" s="47">
        <v>462.5</v>
      </c>
      <c r="DS16" s="47">
        <v>360</v>
      </c>
      <c r="DT16" s="47">
        <v>3480</v>
      </c>
      <c r="DU16" s="47"/>
      <c r="DV16" s="47"/>
      <c r="DW16" s="47">
        <v>372.7</v>
      </c>
      <c r="DX16" s="47"/>
      <c r="DY16" s="47"/>
      <c r="DZ16" s="47"/>
      <c r="EA16" s="47">
        <v>1000</v>
      </c>
      <c r="EB16" s="47"/>
      <c r="EC16" s="47"/>
      <c r="ED16" s="47">
        <v>120</v>
      </c>
      <c r="EE16" s="47"/>
      <c r="EF16" s="47">
        <v>680.5</v>
      </c>
      <c r="EG16" s="47"/>
      <c r="EH16" s="47">
        <v>420</v>
      </c>
      <c r="EI16" s="47">
        <v>1752</v>
      </c>
      <c r="EJ16" s="47"/>
      <c r="EK16" s="47"/>
      <c r="EL16" s="47">
        <v>1756.8</v>
      </c>
      <c r="EM16" s="47"/>
      <c r="EN16" s="47">
        <v>185010.3</v>
      </c>
      <c r="EO16" s="47">
        <v>180</v>
      </c>
      <c r="EP16" s="47">
        <v>34993.5</v>
      </c>
      <c r="EQ16" s="47">
        <v>76.900000000000006</v>
      </c>
      <c r="ER16" s="47"/>
      <c r="ES16" s="47"/>
      <c r="ET16" s="47">
        <v>148.1</v>
      </c>
      <c r="EU16" s="47"/>
      <c r="EV16" s="47"/>
      <c r="EW16" s="47">
        <v>8971.1</v>
      </c>
      <c r="EX16" s="47"/>
      <c r="EY16" s="47"/>
      <c r="EZ16" s="47"/>
      <c r="FA16" s="47">
        <v>10528.5</v>
      </c>
      <c r="FB16" s="47"/>
      <c r="FC16" s="47">
        <v>450</v>
      </c>
      <c r="FD16" s="47">
        <v>98.8</v>
      </c>
      <c r="FE16" s="47"/>
      <c r="FF16" s="47"/>
      <c r="FG16" s="47"/>
      <c r="FH16" s="47"/>
      <c r="FI16" s="47"/>
      <c r="FJ16" s="47">
        <v>21.1</v>
      </c>
      <c r="FK16" s="47"/>
      <c r="FL16" s="47">
        <v>10414.4</v>
      </c>
      <c r="FM16" s="47">
        <f>6508.6+87731.2</f>
        <v>94239.8</v>
      </c>
      <c r="FN16" s="47">
        <v>12</v>
      </c>
      <c r="FO16" s="47">
        <v>200</v>
      </c>
      <c r="FP16" s="47"/>
      <c r="FQ16" s="47">
        <v>5170.3</v>
      </c>
      <c r="FR16" s="47">
        <v>2192.1999999999998</v>
      </c>
      <c r="FS16" s="47">
        <v>24277.4</v>
      </c>
      <c r="FT16" s="47">
        <v>32021.3</v>
      </c>
      <c r="FU16" s="47">
        <v>6629.3</v>
      </c>
      <c r="FV16" s="47">
        <v>2482.6999999999998</v>
      </c>
      <c r="FW16" s="47">
        <v>3415.9</v>
      </c>
      <c r="FX16" s="47">
        <v>30000</v>
      </c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>
        <v>5778.4</v>
      </c>
      <c r="GO16" s="47"/>
      <c r="GP16" s="47"/>
      <c r="GQ16" s="47">
        <v>840</v>
      </c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>
        <v>1510.5</v>
      </c>
      <c r="HC16" s="47">
        <v>180</v>
      </c>
      <c r="HD16" s="47"/>
      <c r="HE16" s="47"/>
      <c r="HF16" s="47"/>
      <c r="HG16" s="47"/>
      <c r="HH16" s="47"/>
      <c r="HI16" s="47">
        <v>215.4</v>
      </c>
      <c r="HJ16" s="47"/>
      <c r="HK16" s="47"/>
      <c r="HL16" s="47">
        <v>3014.3</v>
      </c>
      <c r="HM16" s="47"/>
      <c r="HN16" s="47">
        <f>789.9+2546.9</f>
        <v>3336.8</v>
      </c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>
        <f>9643.6+1351.6+2214.3</f>
        <v>13209.5</v>
      </c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>
        <v>70</v>
      </c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>
        <v>238.1</v>
      </c>
      <c r="JK16" s="47"/>
      <c r="JL16" s="47">
        <v>349</v>
      </c>
      <c r="JM16" s="47">
        <v>60</v>
      </c>
      <c r="JN16" s="47"/>
      <c r="JO16" s="47"/>
      <c r="JP16" s="47"/>
      <c r="JQ16" s="47"/>
      <c r="JR16" s="47"/>
      <c r="JS16" s="47"/>
      <c r="JT16" s="47"/>
      <c r="JU16" s="47"/>
      <c r="JV16" s="47"/>
      <c r="JW16" s="47">
        <v>37044</v>
      </c>
      <c r="JX16" s="47"/>
      <c r="JY16" s="47"/>
      <c r="JZ16" s="47">
        <v>229.8</v>
      </c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>
        <v>2000</v>
      </c>
      <c r="LE16" s="47">
        <v>235.2</v>
      </c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>
        <v>60</v>
      </c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>
        <v>60</v>
      </c>
      <c r="MG16" s="47"/>
      <c r="MH16" s="47"/>
      <c r="MI16" s="47">
        <v>4696</v>
      </c>
      <c r="MJ16" s="47"/>
      <c r="MK16" s="47">
        <v>6180.1</v>
      </c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14"/>
      <c r="MY16" s="14"/>
      <c r="MZ16" s="2"/>
      <c r="NA16" s="2"/>
    </row>
    <row r="17" spans="1:365" ht="12.75" customHeight="1" x14ac:dyDescent="0.25">
      <c r="A17" s="56" t="s">
        <v>16</v>
      </c>
      <c r="B17" s="56"/>
      <c r="C17" s="56">
        <f t="shared" si="11"/>
        <v>2303393.9000000004</v>
      </c>
      <c r="D17" s="58">
        <v>0</v>
      </c>
      <c r="E17" s="58"/>
      <c r="F17" s="58"/>
      <c r="G17" s="58">
        <v>0</v>
      </c>
      <c r="H17" s="58">
        <v>0</v>
      </c>
      <c r="I17" s="58"/>
      <c r="J17" s="58"/>
      <c r="K17" s="58"/>
      <c r="L17" s="58"/>
      <c r="M17" s="58"/>
      <c r="N17" s="58"/>
      <c r="O17" s="59">
        <v>1009080.7</v>
      </c>
      <c r="P17" s="58"/>
      <c r="Q17" s="58">
        <v>0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>
        <v>6449.4</v>
      </c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>
        <v>77432</v>
      </c>
      <c r="CK17" s="58"/>
      <c r="CL17" s="58"/>
      <c r="CM17" s="58">
        <v>2887.5</v>
      </c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>
        <v>1146826.3999999999</v>
      </c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>
        <v>52830.2</v>
      </c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>
        <v>7887.7</v>
      </c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8"/>
      <c r="MY17" s="8"/>
      <c r="MZ17" s="8"/>
      <c r="NA17" s="8"/>
    </row>
    <row r="18" spans="1:365" ht="15" x14ac:dyDescent="0.25">
      <c r="A18" s="56" t="s">
        <v>17</v>
      </c>
      <c r="B18" s="56"/>
      <c r="C18" s="56">
        <f t="shared" si="11"/>
        <v>127846.6</v>
      </c>
      <c r="D18" s="58">
        <v>0</v>
      </c>
      <c r="E18" s="58"/>
      <c r="F18" s="58"/>
      <c r="G18" s="58">
        <v>0</v>
      </c>
      <c r="H18" s="58">
        <v>0</v>
      </c>
      <c r="I18" s="58"/>
      <c r="J18" s="58"/>
      <c r="K18" s="58"/>
      <c r="L18" s="58"/>
      <c r="M18" s="58"/>
      <c r="N18" s="58"/>
      <c r="O18" s="59">
        <v>47578.400000000001</v>
      </c>
      <c r="P18" s="58"/>
      <c r="Q18" s="58">
        <v>0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>
        <v>4510.5</v>
      </c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>
        <v>74378.3</v>
      </c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>
        <v>1379.4</v>
      </c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8"/>
      <c r="MY18" s="8"/>
      <c r="MZ18" s="8"/>
      <c r="NA18" s="8"/>
    </row>
    <row r="19" spans="1:365" ht="14.25" x14ac:dyDescent="0.2">
      <c r="A19" s="55" t="s">
        <v>18</v>
      </c>
      <c r="B19" s="55"/>
      <c r="C19" s="56">
        <f t="shared" si="11"/>
        <v>241209.20000000013</v>
      </c>
      <c r="D19" s="47">
        <v>0</v>
      </c>
      <c r="E19" s="47"/>
      <c r="F19" s="47">
        <v>75.400000000000006</v>
      </c>
      <c r="G19" s="47">
        <v>0</v>
      </c>
      <c r="H19" s="47">
        <v>0</v>
      </c>
      <c r="I19" s="47">
        <v>100</v>
      </c>
      <c r="J19" s="47">
        <v>4706.1000000000004</v>
      </c>
      <c r="K19" s="47"/>
      <c r="L19" s="47">
        <f>33.1+506.5</f>
        <v>539.6</v>
      </c>
      <c r="M19" s="47"/>
      <c r="N19" s="47">
        <v>394</v>
      </c>
      <c r="O19" s="57">
        <f>423.8+25469.6</f>
        <v>25893.399999999998</v>
      </c>
      <c r="P19" s="47">
        <v>53.8</v>
      </c>
      <c r="Q19" s="47">
        <v>0</v>
      </c>
      <c r="R19" s="47">
        <v>124</v>
      </c>
      <c r="S19" s="47">
        <v>235</v>
      </c>
      <c r="T19" s="47">
        <v>189.5</v>
      </c>
      <c r="U19" s="47">
        <v>45</v>
      </c>
      <c r="V19" s="47">
        <f>2469.1+9011.6</f>
        <v>11480.7</v>
      </c>
      <c r="W19" s="47"/>
      <c r="X19" s="47"/>
      <c r="Y19" s="47">
        <f>16139.5+41.4</f>
        <v>16180.9</v>
      </c>
      <c r="Z19" s="47"/>
      <c r="AA19" s="47">
        <v>98.3</v>
      </c>
      <c r="AB19" s="47">
        <f>60.3+2587</f>
        <v>2647.3</v>
      </c>
      <c r="AC19" s="47"/>
      <c r="AD19" s="47"/>
      <c r="AE19" s="47">
        <f>580.3+597.3</f>
        <v>1177.5999999999999</v>
      </c>
      <c r="AF19" s="47"/>
      <c r="AG19" s="47">
        <v>5184.8999999999996</v>
      </c>
      <c r="AH19" s="47"/>
      <c r="AI19" s="47"/>
      <c r="AJ19" s="47"/>
      <c r="AK19" s="47">
        <v>160</v>
      </c>
      <c r="AL19" s="47">
        <v>44.5</v>
      </c>
      <c r="AM19" s="47"/>
      <c r="AN19" s="47">
        <v>488.5</v>
      </c>
      <c r="AO19" s="47"/>
      <c r="AP19" s="47">
        <v>360</v>
      </c>
      <c r="AQ19" s="47">
        <v>149.80000000000001</v>
      </c>
      <c r="AR19" s="47">
        <f>14749.1+798.3</f>
        <v>15547.4</v>
      </c>
      <c r="AS19" s="47">
        <f>286.2+3865.1</f>
        <v>4151.3</v>
      </c>
      <c r="AT19" s="47">
        <f>28.8+372.7</f>
        <v>401.5</v>
      </c>
      <c r="AU19" s="47"/>
      <c r="AV19" s="47">
        <v>534.20000000000005</v>
      </c>
      <c r="AW19" s="47">
        <v>1103.2</v>
      </c>
      <c r="AX19" s="47">
        <v>7447.4</v>
      </c>
      <c r="AY19" s="47">
        <v>193.2</v>
      </c>
      <c r="AZ19" s="47">
        <v>318.2</v>
      </c>
      <c r="BA19" s="47"/>
      <c r="BB19" s="47">
        <v>479.4</v>
      </c>
      <c r="BC19" s="47">
        <f>986.3+28</f>
        <v>1014.3</v>
      </c>
      <c r="BD19" s="47"/>
      <c r="BE19" s="47"/>
      <c r="BF19" s="47">
        <v>102.8</v>
      </c>
      <c r="BG19" s="47">
        <v>1954.1</v>
      </c>
      <c r="BH19" s="47"/>
      <c r="BI19" s="47">
        <v>45</v>
      </c>
      <c r="BJ19" s="47">
        <v>126.4</v>
      </c>
      <c r="BK19" s="47">
        <v>173.8</v>
      </c>
      <c r="BL19" s="47">
        <v>2980</v>
      </c>
      <c r="BM19" s="47">
        <v>743.5</v>
      </c>
      <c r="BN19" s="47"/>
      <c r="BO19" s="47">
        <v>121.5</v>
      </c>
      <c r="BP19" s="47">
        <v>378.6</v>
      </c>
      <c r="BQ19" s="47">
        <v>135.9</v>
      </c>
      <c r="BR19" s="47"/>
      <c r="BS19" s="47">
        <v>1689</v>
      </c>
      <c r="BT19" s="47"/>
      <c r="BU19" s="47"/>
      <c r="BV19" s="47">
        <v>72</v>
      </c>
      <c r="BW19" s="47">
        <v>55</v>
      </c>
      <c r="BX19" s="47">
        <v>215.6</v>
      </c>
      <c r="BY19" s="47"/>
      <c r="BZ19" s="47">
        <v>1392.9</v>
      </c>
      <c r="CA19" s="47">
        <v>221.8</v>
      </c>
      <c r="CB19" s="47"/>
      <c r="CC19" s="47">
        <v>574.70000000000005</v>
      </c>
      <c r="CD19" s="47"/>
      <c r="CE19" s="47"/>
      <c r="CF19" s="47">
        <v>1162.4000000000001</v>
      </c>
      <c r="CG19" s="47">
        <v>457.9</v>
      </c>
      <c r="CH19" s="47">
        <v>336.5</v>
      </c>
      <c r="CI19" s="47">
        <v>5990</v>
      </c>
      <c r="CJ19" s="47">
        <f>625.3+825.9</f>
        <v>1451.1999999999998</v>
      </c>
      <c r="CK19" s="47"/>
      <c r="CL19" s="47">
        <v>860.9</v>
      </c>
      <c r="CM19" s="47">
        <f>8574.4+1390</f>
        <v>9964.4</v>
      </c>
      <c r="CN19" s="47">
        <v>35</v>
      </c>
      <c r="CO19" s="47">
        <v>4886.5</v>
      </c>
      <c r="CP19" s="47">
        <f>99+2290.8</f>
        <v>2389.8000000000002</v>
      </c>
      <c r="CQ19" s="47">
        <v>99</v>
      </c>
      <c r="CR19" s="47">
        <v>74.099999999999994</v>
      </c>
      <c r="CS19" s="47"/>
      <c r="CT19" s="47"/>
      <c r="CU19" s="47">
        <v>36.700000000000003</v>
      </c>
      <c r="CV19" s="47">
        <v>160</v>
      </c>
      <c r="CW19" s="47">
        <f>70+387</f>
        <v>457</v>
      </c>
      <c r="CX19" s="47">
        <v>50.9</v>
      </c>
      <c r="CY19" s="47">
        <v>876.2</v>
      </c>
      <c r="CZ19" s="47"/>
      <c r="DA19" s="47">
        <v>218</v>
      </c>
      <c r="DB19" s="47"/>
      <c r="DC19" s="47"/>
      <c r="DD19" s="47"/>
      <c r="DE19" s="47"/>
      <c r="DF19" s="47"/>
      <c r="DG19" s="47">
        <v>44.7</v>
      </c>
      <c r="DH19" s="47">
        <v>95.2</v>
      </c>
      <c r="DI19" s="47">
        <v>561.29999999999995</v>
      </c>
      <c r="DJ19" s="47">
        <v>50</v>
      </c>
      <c r="DK19" s="47">
        <v>470.6</v>
      </c>
      <c r="DL19" s="47">
        <v>279.7</v>
      </c>
      <c r="DM19" s="47"/>
      <c r="DN19" s="47">
        <v>1.8</v>
      </c>
      <c r="DO19" s="47"/>
      <c r="DP19" s="47"/>
      <c r="DQ19" s="47">
        <v>2229.1999999999998</v>
      </c>
      <c r="DR19" s="47">
        <v>258.2</v>
      </c>
      <c r="DS19" s="47">
        <v>175.5</v>
      </c>
      <c r="DT19" s="47">
        <v>456.5</v>
      </c>
      <c r="DU19" s="47">
        <v>119</v>
      </c>
      <c r="DV19" s="47"/>
      <c r="DW19" s="47">
        <v>350</v>
      </c>
      <c r="DX19" s="47"/>
      <c r="DY19" s="47">
        <v>114</v>
      </c>
      <c r="DZ19" s="47">
        <f>123+567.2</f>
        <v>690.2</v>
      </c>
      <c r="EA19" s="47">
        <v>119.2</v>
      </c>
      <c r="EB19" s="47">
        <v>331.1</v>
      </c>
      <c r="EC19" s="47"/>
      <c r="ED19" s="47">
        <v>110</v>
      </c>
      <c r="EE19" s="47"/>
      <c r="EF19" s="47">
        <v>1597.5</v>
      </c>
      <c r="EG19" s="47"/>
      <c r="EH19" s="47">
        <v>110</v>
      </c>
      <c r="EI19" s="47">
        <v>127.4</v>
      </c>
      <c r="EJ19" s="47"/>
      <c r="EK19" s="47">
        <v>1345</v>
      </c>
      <c r="EL19" s="47">
        <v>763.5</v>
      </c>
      <c r="EM19" s="47"/>
      <c r="EN19" s="47">
        <v>1453.7</v>
      </c>
      <c r="EO19" s="47">
        <v>126</v>
      </c>
      <c r="EP19" s="47">
        <v>1006.3</v>
      </c>
      <c r="EQ19" s="47">
        <v>192</v>
      </c>
      <c r="ER19" s="47">
        <v>370.8</v>
      </c>
      <c r="ES19" s="47">
        <v>324.60000000000002</v>
      </c>
      <c r="ET19" s="47">
        <v>372.7</v>
      </c>
      <c r="EU19" s="47">
        <f>768.5+100</f>
        <v>868.5</v>
      </c>
      <c r="EV19" s="47">
        <v>35</v>
      </c>
      <c r="EW19" s="47">
        <v>331</v>
      </c>
      <c r="EX19" s="47">
        <v>215.6</v>
      </c>
      <c r="EY19" s="47"/>
      <c r="EZ19" s="47">
        <v>204</v>
      </c>
      <c r="FA19" s="47">
        <f>42.3+1996.1+124.7</f>
        <v>2163.1</v>
      </c>
      <c r="FB19" s="47"/>
      <c r="FC19" s="47">
        <v>39.1</v>
      </c>
      <c r="FD19" s="47">
        <v>378.5</v>
      </c>
      <c r="FE19" s="47"/>
      <c r="FF19" s="47"/>
      <c r="FG19" s="47">
        <v>979.8</v>
      </c>
      <c r="FH19" s="47">
        <v>99</v>
      </c>
      <c r="FI19" s="47">
        <v>400</v>
      </c>
      <c r="FJ19" s="47">
        <v>46</v>
      </c>
      <c r="FK19" s="47">
        <v>7589.1</v>
      </c>
      <c r="FL19" s="47">
        <v>224</v>
      </c>
      <c r="FM19" s="47">
        <v>5625.1</v>
      </c>
      <c r="FN19" s="47">
        <v>55</v>
      </c>
      <c r="FO19" s="47">
        <v>24</v>
      </c>
      <c r="FP19" s="47">
        <f>99+245.2</f>
        <v>344.2</v>
      </c>
      <c r="FQ19" s="47">
        <f>2853.3+11.8</f>
        <v>2865.1000000000004</v>
      </c>
      <c r="FR19" s="47">
        <v>3161.6</v>
      </c>
      <c r="FS19" s="47">
        <v>389.4</v>
      </c>
      <c r="FT19" s="47">
        <f>311+6401.5</f>
        <v>6712.5</v>
      </c>
      <c r="FU19" s="47">
        <v>481</v>
      </c>
      <c r="FV19" s="47">
        <v>2757.4</v>
      </c>
      <c r="FW19" s="47">
        <v>496.5</v>
      </c>
      <c r="FX19" s="47">
        <v>983.2</v>
      </c>
      <c r="FY19" s="47">
        <v>298.39999999999998</v>
      </c>
      <c r="FZ19" s="47"/>
      <c r="GA19" s="47"/>
      <c r="GB19" s="47"/>
      <c r="GC19" s="47">
        <v>92.4</v>
      </c>
      <c r="GD19" s="47">
        <f>179+4468.1</f>
        <v>4647.1000000000004</v>
      </c>
      <c r="GE19" s="47"/>
      <c r="GF19" s="47"/>
      <c r="GG19" s="47"/>
      <c r="GH19" s="47"/>
      <c r="GI19" s="47">
        <v>13496.7</v>
      </c>
      <c r="GJ19" s="47"/>
      <c r="GK19" s="47">
        <v>340</v>
      </c>
      <c r="GL19" s="47"/>
      <c r="GM19" s="47">
        <v>128</v>
      </c>
      <c r="GN19" s="47">
        <v>461.7</v>
      </c>
      <c r="GO19" s="47"/>
      <c r="GP19" s="47">
        <v>719</v>
      </c>
      <c r="GQ19" s="47">
        <v>2945.8</v>
      </c>
      <c r="GR19" s="47">
        <v>135</v>
      </c>
      <c r="GS19" s="47">
        <v>93.6</v>
      </c>
      <c r="GT19" s="47"/>
      <c r="GU19" s="47"/>
      <c r="GV19" s="47">
        <v>112.7</v>
      </c>
      <c r="GW19" s="47"/>
      <c r="GX19" s="47">
        <v>107.5</v>
      </c>
      <c r="GY19" s="47"/>
      <c r="GZ19" s="47"/>
      <c r="HA19" s="47"/>
      <c r="HB19" s="47"/>
      <c r="HC19" s="47"/>
      <c r="HD19" s="47"/>
      <c r="HE19" s="47"/>
      <c r="HF19" s="47">
        <v>35</v>
      </c>
      <c r="HG19" s="47"/>
      <c r="HH19" s="47"/>
      <c r="HI19" s="47">
        <v>260.5</v>
      </c>
      <c r="HJ19" s="47"/>
      <c r="HK19" s="47"/>
      <c r="HL19" s="47">
        <v>72.8</v>
      </c>
      <c r="HM19" s="47"/>
      <c r="HN19" s="47">
        <v>911</v>
      </c>
      <c r="HO19" s="47"/>
      <c r="HP19" s="47">
        <v>402.3</v>
      </c>
      <c r="HQ19" s="47">
        <v>323</v>
      </c>
      <c r="HR19" s="47"/>
      <c r="HS19" s="47"/>
      <c r="HT19" s="47"/>
      <c r="HU19" s="47"/>
      <c r="HV19" s="47"/>
      <c r="HW19" s="47"/>
      <c r="HX19" s="47">
        <v>625.29999999999995</v>
      </c>
      <c r="HY19" s="47"/>
      <c r="HZ19" s="47">
        <v>208.7</v>
      </c>
      <c r="IA19" s="47">
        <v>120.4</v>
      </c>
      <c r="IB19" s="47"/>
      <c r="IC19" s="47"/>
      <c r="ID19" s="47">
        <v>91</v>
      </c>
      <c r="IE19" s="47">
        <f>99+238.1</f>
        <v>337.1</v>
      </c>
      <c r="IF19" s="47"/>
      <c r="IG19" s="47">
        <v>635</v>
      </c>
      <c r="IH19" s="47"/>
      <c r="II19" s="47"/>
      <c r="IJ19" s="47">
        <v>421.6</v>
      </c>
      <c r="IK19" s="47">
        <v>43.5</v>
      </c>
      <c r="IL19" s="47"/>
      <c r="IM19" s="47"/>
      <c r="IN19" s="47"/>
      <c r="IO19" s="47">
        <v>76.599999999999994</v>
      </c>
      <c r="IP19" s="47">
        <v>610</v>
      </c>
      <c r="IQ19" s="47"/>
      <c r="IR19" s="47">
        <v>631</v>
      </c>
      <c r="IS19" s="47">
        <v>1099.4000000000001</v>
      </c>
      <c r="IT19" s="47"/>
      <c r="IU19" s="47">
        <v>350.8</v>
      </c>
      <c r="IV19" s="47"/>
      <c r="IW19" s="47"/>
      <c r="IX19" s="47"/>
      <c r="IY19" s="47">
        <v>132</v>
      </c>
      <c r="IZ19" s="47"/>
      <c r="JA19" s="47">
        <v>199</v>
      </c>
      <c r="JB19" s="47">
        <v>155.1</v>
      </c>
      <c r="JC19" s="47"/>
      <c r="JD19" s="47"/>
      <c r="JE19" s="47"/>
      <c r="JF19" s="47">
        <v>190</v>
      </c>
      <c r="JG19" s="47"/>
      <c r="JH19" s="47">
        <v>280</v>
      </c>
      <c r="JI19" s="47"/>
      <c r="JJ19" s="47"/>
      <c r="JK19" s="47"/>
      <c r="JL19" s="47"/>
      <c r="JM19" s="47">
        <v>167.2</v>
      </c>
      <c r="JN19" s="47"/>
      <c r="JO19" s="47">
        <v>140.6</v>
      </c>
      <c r="JP19" s="47"/>
      <c r="JQ19" s="47"/>
      <c r="JR19" s="47"/>
      <c r="JS19" s="47"/>
      <c r="JT19" s="47"/>
      <c r="JU19" s="47">
        <v>187.2</v>
      </c>
      <c r="JV19" s="47"/>
      <c r="JW19" s="47"/>
      <c r="JX19" s="47"/>
      <c r="JY19" s="47"/>
      <c r="JZ19" s="47"/>
      <c r="KA19" s="47"/>
      <c r="KB19" s="47"/>
      <c r="KC19" s="47">
        <v>30</v>
      </c>
      <c r="KD19" s="47">
        <v>52.5</v>
      </c>
      <c r="KE19" s="47"/>
      <c r="KF19" s="47"/>
      <c r="KG19" s="47">
        <v>424</v>
      </c>
      <c r="KH19" s="47"/>
      <c r="KI19" s="47">
        <v>556</v>
      </c>
      <c r="KJ19" s="47">
        <v>100</v>
      </c>
      <c r="KK19" s="47">
        <v>170.8</v>
      </c>
      <c r="KL19" s="47"/>
      <c r="KM19" s="47">
        <v>515</v>
      </c>
      <c r="KN19" s="47"/>
      <c r="KO19" s="47">
        <f>205+829.5</f>
        <v>1034.5</v>
      </c>
      <c r="KP19" s="47">
        <v>177.5</v>
      </c>
      <c r="KQ19" s="47">
        <v>70</v>
      </c>
      <c r="KR19" s="47">
        <f>32+78.4</f>
        <v>110.4</v>
      </c>
      <c r="KS19" s="47"/>
      <c r="KT19" s="47"/>
      <c r="KU19" s="47"/>
      <c r="KV19" s="47"/>
      <c r="KW19" s="47">
        <v>1044.2</v>
      </c>
      <c r="KX19" s="47"/>
      <c r="KY19" s="47"/>
      <c r="KZ19" s="47"/>
      <c r="LA19" s="47"/>
      <c r="LB19" s="47"/>
      <c r="LC19" s="47"/>
      <c r="LD19" s="47"/>
      <c r="LE19" s="47"/>
      <c r="LF19" s="47">
        <f>232.1+2147.1</f>
        <v>2379.1999999999998</v>
      </c>
      <c r="LG19" s="47">
        <v>657.3</v>
      </c>
      <c r="LH19" s="47"/>
      <c r="LI19" s="47">
        <v>196</v>
      </c>
      <c r="LJ19" s="47"/>
      <c r="LK19" s="47"/>
      <c r="LL19" s="47">
        <v>78.2</v>
      </c>
      <c r="LM19" s="47"/>
      <c r="LN19" s="47">
        <v>99</v>
      </c>
      <c r="LO19" s="47"/>
      <c r="LP19" s="47"/>
      <c r="LQ19" s="47"/>
      <c r="LR19" s="47"/>
      <c r="LS19" s="47"/>
      <c r="LT19" s="47">
        <v>200</v>
      </c>
      <c r="LU19" s="47"/>
      <c r="LV19" s="47">
        <v>256.60000000000002</v>
      </c>
      <c r="LW19" s="47"/>
      <c r="LX19" s="47">
        <f>278.8+167</f>
        <v>445.8</v>
      </c>
      <c r="LY19" s="47"/>
      <c r="LZ19" s="47"/>
      <c r="MA19" s="47"/>
      <c r="MB19" s="47"/>
      <c r="MC19" s="47">
        <v>44</v>
      </c>
      <c r="MD19" s="47">
        <f>215.5+100</f>
        <v>315.5</v>
      </c>
      <c r="ME19" s="47">
        <v>64</v>
      </c>
      <c r="MF19" s="47">
        <v>104</v>
      </c>
      <c r="MG19" s="47"/>
      <c r="MH19" s="47"/>
      <c r="MI19" s="47">
        <v>3503.6</v>
      </c>
      <c r="MJ19" s="47">
        <v>99</v>
      </c>
      <c r="MK19" s="47">
        <v>608.1</v>
      </c>
      <c r="ML19" s="47">
        <f>183.5+168+968.6</f>
        <v>1320.1</v>
      </c>
      <c r="MM19" s="47">
        <v>168</v>
      </c>
      <c r="MN19" s="47"/>
      <c r="MO19" s="47"/>
      <c r="MP19" s="47">
        <v>110</v>
      </c>
      <c r="MQ19" s="47">
        <v>152.80000000000001</v>
      </c>
      <c r="MR19" s="47"/>
      <c r="MS19" s="47"/>
      <c r="MT19" s="47">
        <v>118.2</v>
      </c>
      <c r="MU19" s="47"/>
      <c r="MV19" s="47"/>
      <c r="MW19" s="47"/>
      <c r="MX19" s="14"/>
      <c r="MY19" s="14"/>
      <c r="MZ19" s="2"/>
      <c r="NA19" s="2"/>
    </row>
    <row r="20" spans="1:365" ht="14.25" x14ac:dyDescent="0.2">
      <c r="A20" s="55" t="s">
        <v>19</v>
      </c>
      <c r="B20" s="60"/>
      <c r="C20" s="56">
        <f t="shared" si="11"/>
        <v>0</v>
      </c>
      <c r="D20" s="47"/>
      <c r="E20" s="47"/>
      <c r="F20" s="47"/>
      <c r="G20" s="47">
        <v>0</v>
      </c>
      <c r="H20" s="47">
        <v>0</v>
      </c>
      <c r="I20" s="47"/>
      <c r="J20" s="47"/>
      <c r="K20" s="47"/>
      <c r="L20" s="47"/>
      <c r="M20" s="47"/>
      <c r="N20" s="47"/>
      <c r="O20" s="47"/>
      <c r="P20" s="47"/>
      <c r="Q20" s="47">
        <v>0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14"/>
      <c r="MY20" s="14"/>
      <c r="MZ20" s="2"/>
      <c r="NA20" s="2"/>
    </row>
    <row r="21" spans="1:365" ht="14.25" x14ac:dyDescent="0.2">
      <c r="A21" s="55" t="s">
        <v>19</v>
      </c>
      <c r="B21" s="55"/>
      <c r="C21" s="56">
        <f t="shared" si="11"/>
        <v>0</v>
      </c>
      <c r="D21" s="47">
        <v>0</v>
      </c>
      <c r="E21" s="47"/>
      <c r="F21" s="47"/>
      <c r="G21" s="47">
        <v>0</v>
      </c>
      <c r="H21" s="47">
        <v>0</v>
      </c>
      <c r="I21" s="47"/>
      <c r="J21" s="47"/>
      <c r="K21" s="47"/>
      <c r="L21" s="47"/>
      <c r="M21" s="47"/>
      <c r="N21" s="47"/>
      <c r="O21" s="47"/>
      <c r="P21" s="47"/>
      <c r="Q21" s="47">
        <v>0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14"/>
      <c r="MY21" s="14"/>
      <c r="MZ21" s="2"/>
      <c r="NA21" s="2"/>
    </row>
    <row r="22" spans="1:365" ht="14.25" x14ac:dyDescent="0.2">
      <c r="A22" s="50" t="s">
        <v>20</v>
      </c>
      <c r="B22" s="61" t="s">
        <v>21</v>
      </c>
      <c r="C22" s="52">
        <f>C23+C24+C26+C27+C28+C29+C30+C31+C32</f>
        <v>135563566.53699994</v>
      </c>
      <c r="D22" s="53">
        <f>D23+D24+D25+D26+D27+D28+D29+D30+D31+D32</f>
        <v>0</v>
      </c>
      <c r="E22" s="53">
        <f t="shared" ref="E22:BP22" si="12">E23+E24+E25+E26+E27+E28+E29+E30+E31+E32</f>
        <v>2041.2</v>
      </c>
      <c r="F22" s="53">
        <f t="shared" si="12"/>
        <v>179229.6</v>
      </c>
      <c r="G22" s="53">
        <f t="shared" si="12"/>
        <v>3942.6</v>
      </c>
      <c r="H22" s="53">
        <f t="shared" si="12"/>
        <v>15040.14</v>
      </c>
      <c r="I22" s="53">
        <f t="shared" si="12"/>
        <v>193.3</v>
      </c>
      <c r="J22" s="53">
        <f t="shared" si="12"/>
        <v>441067.8</v>
      </c>
      <c r="K22" s="53">
        <f t="shared" si="12"/>
        <v>8289.5</v>
      </c>
      <c r="L22" s="53">
        <f t="shared" si="12"/>
        <v>50542.6</v>
      </c>
      <c r="M22" s="53">
        <f t="shared" si="12"/>
        <v>3588</v>
      </c>
      <c r="N22" s="53">
        <f t="shared" si="12"/>
        <v>5459.5</v>
      </c>
      <c r="O22" s="52">
        <f t="shared" si="12"/>
        <v>60701202.159999996</v>
      </c>
      <c r="P22" s="53">
        <f t="shared" si="12"/>
        <v>9087.1999999999989</v>
      </c>
      <c r="Q22" s="53">
        <f t="shared" si="12"/>
        <v>1858.5</v>
      </c>
      <c r="R22" s="53">
        <f t="shared" si="12"/>
        <v>4866</v>
      </c>
      <c r="S22" s="53">
        <f t="shared" si="12"/>
        <v>38342.399999999994</v>
      </c>
      <c r="T22" s="53">
        <f t="shared" si="12"/>
        <v>295889.09999999998</v>
      </c>
      <c r="U22" s="53">
        <f t="shared" si="12"/>
        <v>63.6</v>
      </c>
      <c r="V22" s="53">
        <f t="shared" si="12"/>
        <v>775988.00000000012</v>
      </c>
      <c r="W22" s="53">
        <f t="shared" si="12"/>
        <v>34272.400000000001</v>
      </c>
      <c r="X22" s="53">
        <f t="shared" si="12"/>
        <v>494</v>
      </c>
      <c r="Y22" s="53">
        <f t="shared" si="12"/>
        <v>171671</v>
      </c>
      <c r="Z22" s="53">
        <f t="shared" si="12"/>
        <v>41261.199999999997</v>
      </c>
      <c r="AA22" s="53">
        <f t="shared" si="12"/>
        <v>16521.599999999999</v>
      </c>
      <c r="AB22" s="53">
        <f t="shared" si="12"/>
        <v>970848.9</v>
      </c>
      <c r="AC22" s="53">
        <f t="shared" si="12"/>
        <v>113.8</v>
      </c>
      <c r="AD22" s="53">
        <f t="shared" si="12"/>
        <v>4742.3</v>
      </c>
      <c r="AE22" s="53">
        <f t="shared" si="12"/>
        <v>393968.5</v>
      </c>
      <c r="AF22" s="53">
        <f t="shared" si="12"/>
        <v>0</v>
      </c>
      <c r="AG22" s="53">
        <f t="shared" si="12"/>
        <v>1293378.8999999999</v>
      </c>
      <c r="AH22" s="53">
        <f t="shared" si="12"/>
        <v>387.1</v>
      </c>
      <c r="AI22" s="53">
        <f t="shared" si="12"/>
        <v>4465.8999999999996</v>
      </c>
      <c r="AJ22" s="53">
        <f t="shared" si="12"/>
        <v>155</v>
      </c>
      <c r="AK22" s="53">
        <f t="shared" si="12"/>
        <v>2015.6</v>
      </c>
      <c r="AL22" s="53">
        <f t="shared" si="12"/>
        <v>5626</v>
      </c>
      <c r="AM22" s="53">
        <f t="shared" si="12"/>
        <v>21918.5</v>
      </c>
      <c r="AN22" s="53">
        <f t="shared" si="12"/>
        <v>30093.3</v>
      </c>
      <c r="AO22" s="53">
        <f t="shared" si="12"/>
        <v>16824.400000000001</v>
      </c>
      <c r="AP22" s="53">
        <f t="shared" si="12"/>
        <v>7790.5</v>
      </c>
      <c r="AQ22" s="53">
        <f t="shared" si="12"/>
        <v>1183.0999999999999</v>
      </c>
      <c r="AR22" s="53">
        <f t="shared" si="12"/>
        <v>3941211.2</v>
      </c>
      <c r="AS22" s="53">
        <f t="shared" si="12"/>
        <v>11657897.4</v>
      </c>
      <c r="AT22" s="53">
        <f t="shared" si="12"/>
        <v>55777.8</v>
      </c>
      <c r="AU22" s="53">
        <f t="shared" si="12"/>
        <v>9880</v>
      </c>
      <c r="AV22" s="53">
        <f t="shared" si="12"/>
        <v>7407</v>
      </c>
      <c r="AW22" s="53">
        <f t="shared" si="12"/>
        <v>25664.6</v>
      </c>
      <c r="AX22" s="53">
        <f t="shared" si="12"/>
        <v>1203988.31</v>
      </c>
      <c r="AY22" s="53">
        <f t="shared" si="12"/>
        <v>1125269.6300000001</v>
      </c>
      <c r="AZ22" s="53">
        <f t="shared" si="12"/>
        <v>14025.9</v>
      </c>
      <c r="BA22" s="53">
        <f t="shared" si="12"/>
        <v>9701.4000000000015</v>
      </c>
      <c r="BB22" s="53">
        <f t="shared" si="12"/>
        <v>17229.05</v>
      </c>
      <c r="BC22" s="53">
        <f t="shared" si="12"/>
        <v>78800.849999999991</v>
      </c>
      <c r="BD22" s="53">
        <f t="shared" si="12"/>
        <v>77.92</v>
      </c>
      <c r="BE22" s="53">
        <f t="shared" si="12"/>
        <v>1486.32</v>
      </c>
      <c r="BF22" s="53">
        <f t="shared" si="12"/>
        <v>228.9</v>
      </c>
      <c r="BG22" s="53">
        <f t="shared" si="12"/>
        <v>110709.37</v>
      </c>
      <c r="BH22" s="53">
        <f t="shared" si="12"/>
        <v>29226.620000000003</v>
      </c>
      <c r="BI22" s="53">
        <f t="shared" si="12"/>
        <v>7993.7999999999993</v>
      </c>
      <c r="BJ22" s="53">
        <f t="shared" si="12"/>
        <v>58200.47</v>
      </c>
      <c r="BK22" s="53">
        <f t="shared" si="12"/>
        <v>443.6</v>
      </c>
      <c r="BL22" s="53">
        <f t="shared" si="12"/>
        <v>57150.5</v>
      </c>
      <c r="BM22" s="53">
        <f t="shared" si="12"/>
        <v>27456.3</v>
      </c>
      <c r="BN22" s="53">
        <f t="shared" si="12"/>
        <v>4635.05</v>
      </c>
      <c r="BO22" s="53">
        <f t="shared" si="12"/>
        <v>0</v>
      </c>
      <c r="BP22" s="53">
        <f t="shared" si="12"/>
        <v>0</v>
      </c>
      <c r="BQ22" s="53">
        <f t="shared" ref="BQ22:EB22" si="13">BQ23+BQ24+BQ25+BQ26+BQ27+BQ28+BQ29+BQ30+BQ31+BQ32</f>
        <v>49916.800000000003</v>
      </c>
      <c r="BR22" s="53">
        <f t="shared" si="13"/>
        <v>5010.78</v>
      </c>
      <c r="BS22" s="53">
        <f t="shared" si="13"/>
        <v>37244.25</v>
      </c>
      <c r="BT22" s="53">
        <f t="shared" si="13"/>
        <v>2910.81</v>
      </c>
      <c r="BU22" s="53">
        <f t="shared" si="13"/>
        <v>750</v>
      </c>
      <c r="BV22" s="53">
        <f t="shared" si="13"/>
        <v>61388.125</v>
      </c>
      <c r="BW22" s="53">
        <f t="shared" si="13"/>
        <v>931.25199999999995</v>
      </c>
      <c r="BX22" s="53">
        <f t="shared" si="13"/>
        <v>5758.6620000000003</v>
      </c>
      <c r="BY22" s="53">
        <f t="shared" si="13"/>
        <v>378.41199999999998</v>
      </c>
      <c r="BZ22" s="53">
        <f t="shared" si="13"/>
        <v>135</v>
      </c>
      <c r="CA22" s="53">
        <f t="shared" si="13"/>
        <v>1722363.4</v>
      </c>
      <c r="CB22" s="53">
        <f t="shared" si="13"/>
        <v>3658</v>
      </c>
      <c r="CC22" s="53">
        <f t="shared" si="13"/>
        <v>24838.34</v>
      </c>
      <c r="CD22" s="53">
        <f t="shared" si="13"/>
        <v>188</v>
      </c>
      <c r="CE22" s="53">
        <f t="shared" si="13"/>
        <v>2452.1999999999998</v>
      </c>
      <c r="CF22" s="53">
        <f t="shared" si="13"/>
        <v>256.26100000000002</v>
      </c>
      <c r="CG22" s="53">
        <f t="shared" si="13"/>
        <v>8138.1769999999997</v>
      </c>
      <c r="CH22" s="53">
        <f t="shared" si="13"/>
        <v>132151.465</v>
      </c>
      <c r="CI22" s="53">
        <f t="shared" si="13"/>
        <v>183106.524</v>
      </c>
      <c r="CJ22" s="53">
        <f t="shared" si="13"/>
        <v>869554</v>
      </c>
      <c r="CK22" s="53">
        <f t="shared" si="13"/>
        <v>179148.57299999997</v>
      </c>
      <c r="CL22" s="53">
        <f t="shared" si="13"/>
        <v>94314.660999999993</v>
      </c>
      <c r="CM22" s="53">
        <f t="shared" si="13"/>
        <v>5255506.8480000002</v>
      </c>
      <c r="CN22" s="53">
        <f t="shared" si="13"/>
        <v>0</v>
      </c>
      <c r="CO22" s="53">
        <f t="shared" si="13"/>
        <v>15475.189999999999</v>
      </c>
      <c r="CP22" s="53">
        <f t="shared" si="13"/>
        <v>1590783.6</v>
      </c>
      <c r="CQ22" s="53">
        <f t="shared" si="13"/>
        <v>3792.8</v>
      </c>
      <c r="CR22" s="53">
        <f t="shared" si="13"/>
        <v>5611.4</v>
      </c>
      <c r="CS22" s="53">
        <f t="shared" si="13"/>
        <v>10364.299999999999</v>
      </c>
      <c r="CT22" s="53">
        <f t="shared" si="13"/>
        <v>0</v>
      </c>
      <c r="CU22" s="53">
        <f t="shared" si="13"/>
        <v>1251.7849999999999</v>
      </c>
      <c r="CV22" s="53">
        <f t="shared" si="13"/>
        <v>4115.8</v>
      </c>
      <c r="CW22" s="53">
        <f t="shared" si="13"/>
        <v>78056.7</v>
      </c>
      <c r="CX22" s="53">
        <f t="shared" si="13"/>
        <v>468.21</v>
      </c>
      <c r="CY22" s="53">
        <f t="shared" si="13"/>
        <v>311094.90000000002</v>
      </c>
      <c r="CZ22" s="53">
        <f t="shared" si="13"/>
        <v>1700</v>
      </c>
      <c r="DA22" s="53">
        <f t="shared" si="13"/>
        <v>14165</v>
      </c>
      <c r="DB22" s="53">
        <f t="shared" si="13"/>
        <v>13734</v>
      </c>
      <c r="DC22" s="53">
        <f t="shared" si="13"/>
        <v>0</v>
      </c>
      <c r="DD22" s="53">
        <f t="shared" si="13"/>
        <v>8176.5860000000002</v>
      </c>
      <c r="DE22" s="53">
        <f t="shared" si="13"/>
        <v>27181.333999999999</v>
      </c>
      <c r="DF22" s="53">
        <f t="shared" si="13"/>
        <v>0</v>
      </c>
      <c r="DG22" s="53">
        <f t="shared" si="13"/>
        <v>220.976</v>
      </c>
      <c r="DH22" s="53">
        <f t="shared" si="13"/>
        <v>21854.6</v>
      </c>
      <c r="DI22" s="53">
        <f t="shared" si="13"/>
        <v>22712.401000000002</v>
      </c>
      <c r="DJ22" s="53">
        <f t="shared" si="13"/>
        <v>123681.65000000001</v>
      </c>
      <c r="DK22" s="53">
        <f t="shared" si="13"/>
        <v>23352.04</v>
      </c>
      <c r="DL22" s="53">
        <f t="shared" si="13"/>
        <v>9734.2999999999993</v>
      </c>
      <c r="DM22" s="53">
        <f t="shared" si="13"/>
        <v>9093.9</v>
      </c>
      <c r="DN22" s="53">
        <f t="shared" si="13"/>
        <v>8307.5</v>
      </c>
      <c r="DO22" s="53">
        <f t="shared" si="13"/>
        <v>7168.55</v>
      </c>
      <c r="DP22" s="53">
        <f t="shared" si="13"/>
        <v>4724.4780000000001</v>
      </c>
      <c r="DQ22" s="53">
        <f t="shared" si="13"/>
        <v>59852.100000000006</v>
      </c>
      <c r="DR22" s="53">
        <f t="shared" si="13"/>
        <v>6317.0209999999997</v>
      </c>
      <c r="DS22" s="53">
        <f t="shared" si="13"/>
        <v>1580.7329999999999</v>
      </c>
      <c r="DT22" s="53">
        <f t="shared" si="13"/>
        <v>79641</v>
      </c>
      <c r="DU22" s="53">
        <f t="shared" si="13"/>
        <v>3571.7000000000003</v>
      </c>
      <c r="DV22" s="53">
        <f t="shared" si="13"/>
        <v>4734.99</v>
      </c>
      <c r="DW22" s="53">
        <f t="shared" si="13"/>
        <v>5506.6500000000005</v>
      </c>
      <c r="DX22" s="53">
        <f t="shared" si="13"/>
        <v>13859.241000000002</v>
      </c>
      <c r="DY22" s="53">
        <f t="shared" si="13"/>
        <v>3966.2</v>
      </c>
      <c r="DZ22" s="53">
        <f t="shared" si="13"/>
        <v>83818.358999999997</v>
      </c>
      <c r="EA22" s="53">
        <f t="shared" si="13"/>
        <v>19275.556</v>
      </c>
      <c r="EB22" s="53">
        <f t="shared" si="13"/>
        <v>104053.378</v>
      </c>
      <c r="EC22" s="53">
        <f t="shared" ref="EC22:GD22" si="14">EC23+EC24+EC25+EC26+EC27+EC28+EC29+EC30+EC31+EC32</f>
        <v>2516</v>
      </c>
      <c r="ED22" s="53">
        <f t="shared" si="14"/>
        <v>325</v>
      </c>
      <c r="EE22" s="53">
        <f t="shared" si="14"/>
        <v>5960.0439999999999</v>
      </c>
      <c r="EF22" s="53">
        <f t="shared" si="14"/>
        <v>390</v>
      </c>
      <c r="EG22" s="53">
        <f t="shared" si="14"/>
        <v>1270.52</v>
      </c>
      <c r="EH22" s="53">
        <f t="shared" si="14"/>
        <v>779.2</v>
      </c>
      <c r="EI22" s="53">
        <f t="shared" si="14"/>
        <v>16200.612999999999</v>
      </c>
      <c r="EJ22" s="53">
        <f t="shared" si="14"/>
        <v>5188.8500000000004</v>
      </c>
      <c r="EK22" s="53">
        <f t="shared" si="14"/>
        <v>5028.2</v>
      </c>
      <c r="EL22" s="53">
        <f t="shared" si="14"/>
        <v>58326.183000000005</v>
      </c>
      <c r="EM22" s="53">
        <f t="shared" si="14"/>
        <v>6761.42</v>
      </c>
      <c r="EN22" s="53">
        <f t="shared" si="14"/>
        <v>8339795.2000000002</v>
      </c>
      <c r="EO22" s="53">
        <f t="shared" si="14"/>
        <v>65</v>
      </c>
      <c r="EP22" s="53">
        <f t="shared" si="14"/>
        <v>44882</v>
      </c>
      <c r="EQ22" s="53">
        <f t="shared" si="14"/>
        <v>11393.029999999999</v>
      </c>
      <c r="ER22" s="53">
        <f t="shared" si="14"/>
        <v>52987.777000000002</v>
      </c>
      <c r="ES22" s="53">
        <f t="shared" si="14"/>
        <v>11305.542000000001</v>
      </c>
      <c r="ET22" s="53">
        <f t="shared" si="14"/>
        <v>1336.3</v>
      </c>
      <c r="EU22" s="53">
        <f t="shared" si="14"/>
        <v>24097.417000000001</v>
      </c>
      <c r="EV22" s="53">
        <f t="shared" si="14"/>
        <v>5115</v>
      </c>
      <c r="EW22" s="53">
        <f t="shared" si="14"/>
        <v>330712.5</v>
      </c>
      <c r="EX22" s="53">
        <f t="shared" si="14"/>
        <v>7458.89</v>
      </c>
      <c r="EY22" s="53">
        <f t="shared" si="14"/>
        <v>271919.44400000002</v>
      </c>
      <c r="EZ22" s="53">
        <f t="shared" si="14"/>
        <v>14617.911</v>
      </c>
      <c r="FA22" s="53">
        <f t="shared" si="14"/>
        <v>1227510.7</v>
      </c>
      <c r="FB22" s="53">
        <f t="shared" si="14"/>
        <v>158913.4</v>
      </c>
      <c r="FC22" s="53">
        <f t="shared" si="14"/>
        <v>418384.19999999995</v>
      </c>
      <c r="FD22" s="53">
        <f t="shared" si="14"/>
        <v>2106.3599999999997</v>
      </c>
      <c r="FE22" s="53">
        <f t="shared" si="14"/>
        <v>441.37799999999999</v>
      </c>
      <c r="FF22" s="53">
        <f t="shared" si="14"/>
        <v>4913.6640000000007</v>
      </c>
      <c r="FG22" s="53">
        <f t="shared" si="14"/>
        <v>5895</v>
      </c>
      <c r="FH22" s="53">
        <f t="shared" si="14"/>
        <v>31148.101000000002</v>
      </c>
      <c r="FI22" s="53">
        <f t="shared" si="14"/>
        <v>63591.334999999999</v>
      </c>
      <c r="FJ22" s="53">
        <f t="shared" si="14"/>
        <v>1683.7750000000001</v>
      </c>
      <c r="FK22" s="53">
        <f t="shared" si="14"/>
        <v>3271.2</v>
      </c>
      <c r="FL22" s="53">
        <f t="shared" si="14"/>
        <v>4125.6000000000004</v>
      </c>
      <c r="FM22" s="53">
        <f t="shared" si="14"/>
        <v>449297.25099999999</v>
      </c>
      <c r="FN22" s="53">
        <f t="shared" si="14"/>
        <v>280.46699999999998</v>
      </c>
      <c r="FO22" s="53">
        <f t="shared" si="14"/>
        <v>11778.618999999999</v>
      </c>
      <c r="FP22" s="53">
        <f t="shared" si="14"/>
        <v>2144.7600000000002</v>
      </c>
      <c r="FQ22" s="53">
        <f t="shared" si="14"/>
        <v>22263</v>
      </c>
      <c r="FR22" s="53">
        <f t="shared" si="14"/>
        <v>14742978.800000001</v>
      </c>
      <c r="FS22" s="53">
        <f t="shared" si="14"/>
        <v>186757.69999999998</v>
      </c>
      <c r="FT22" s="53">
        <f t="shared" si="14"/>
        <v>1502840.9000000001</v>
      </c>
      <c r="FU22" s="53">
        <f t="shared" si="14"/>
        <v>0</v>
      </c>
      <c r="FV22" s="53">
        <f t="shared" si="14"/>
        <v>64912.294999999998</v>
      </c>
      <c r="FW22" s="53">
        <f t="shared" si="14"/>
        <v>108551.436</v>
      </c>
      <c r="FX22" s="53">
        <f t="shared" si="14"/>
        <v>285249.68</v>
      </c>
      <c r="FY22" s="53">
        <f t="shared" si="14"/>
        <v>22633.042000000001</v>
      </c>
      <c r="FZ22" s="53">
        <f t="shared" si="14"/>
        <v>495</v>
      </c>
      <c r="GA22" s="53">
        <f t="shared" si="14"/>
        <v>440621.25999999966</v>
      </c>
      <c r="GB22" s="53">
        <f t="shared" si="14"/>
        <v>74307</v>
      </c>
      <c r="GC22" s="53">
        <f t="shared" si="14"/>
        <v>7848</v>
      </c>
      <c r="GD22" s="53">
        <f t="shared" si="14"/>
        <v>22181.5</v>
      </c>
      <c r="GE22" s="53">
        <f>GE23+GE24+GE25+GE26+GE27+GE28+GE29+GE30+GE31+GE32</f>
        <v>29348.6</v>
      </c>
      <c r="GF22" s="53">
        <f>GF23+GF24+GF25+GF26+GF27+GF28+GF29+GF30+GF31+GF32</f>
        <v>42567.19</v>
      </c>
      <c r="GG22" s="53">
        <f>GG23+GG24+GG25+GG26+GG27+GG28+GG29+GG30+GG31+GG32</f>
        <v>29664.7</v>
      </c>
      <c r="GH22" s="53">
        <f t="shared" ref="GH22:IS22" si="15">GH23+GH24+GH25+GH26+GH27+GH28+GH29+GH30+GH31+GH32</f>
        <v>12664.5</v>
      </c>
      <c r="GI22" s="53">
        <f t="shared" si="15"/>
        <v>33211</v>
      </c>
      <c r="GJ22" s="53">
        <f t="shared" si="15"/>
        <v>0</v>
      </c>
      <c r="GK22" s="53">
        <f t="shared" si="15"/>
        <v>5877.6</v>
      </c>
      <c r="GL22" s="53">
        <f t="shared" si="15"/>
        <v>2925</v>
      </c>
      <c r="GM22" s="53">
        <f t="shared" si="15"/>
        <v>0</v>
      </c>
      <c r="GN22" s="53">
        <f t="shared" si="15"/>
        <v>8182.6</v>
      </c>
      <c r="GO22" s="53">
        <f t="shared" si="15"/>
        <v>166511.06899999999</v>
      </c>
      <c r="GP22" s="53">
        <f t="shared" si="15"/>
        <v>71742.399999999994</v>
      </c>
      <c r="GQ22" s="53">
        <f t="shared" si="15"/>
        <v>51413.7</v>
      </c>
      <c r="GR22" s="53">
        <f t="shared" si="15"/>
        <v>111801.292</v>
      </c>
      <c r="GS22" s="53">
        <f t="shared" si="15"/>
        <v>17573.787</v>
      </c>
      <c r="GT22" s="53">
        <f t="shared" si="15"/>
        <v>0</v>
      </c>
      <c r="GU22" s="53">
        <f t="shared" si="15"/>
        <v>7244.5330000000004</v>
      </c>
      <c r="GV22" s="53">
        <f t="shared" si="15"/>
        <v>18597</v>
      </c>
      <c r="GW22" s="53">
        <f t="shared" si="15"/>
        <v>0</v>
      </c>
      <c r="GX22" s="53">
        <f t="shared" si="15"/>
        <v>9401.18</v>
      </c>
      <c r="GY22" s="53">
        <f t="shared" si="15"/>
        <v>1342.326</v>
      </c>
      <c r="GZ22" s="53">
        <f t="shared" si="15"/>
        <v>4395.1000000000004</v>
      </c>
      <c r="HA22" s="53">
        <f t="shared" si="15"/>
        <v>0</v>
      </c>
      <c r="HB22" s="53">
        <f t="shared" si="15"/>
        <v>8841.9670000000006</v>
      </c>
      <c r="HC22" s="53">
        <f t="shared" si="15"/>
        <v>4575</v>
      </c>
      <c r="HD22" s="53">
        <f t="shared" si="15"/>
        <v>0</v>
      </c>
      <c r="HE22" s="53">
        <f t="shared" si="15"/>
        <v>2467.8000000000002</v>
      </c>
      <c r="HF22" s="53">
        <f t="shared" si="15"/>
        <v>242.03100000000001</v>
      </c>
      <c r="HG22" s="53">
        <f t="shared" si="15"/>
        <v>1138.5</v>
      </c>
      <c r="HH22" s="53">
        <f t="shared" si="15"/>
        <v>0</v>
      </c>
      <c r="HI22" s="53">
        <f t="shared" si="15"/>
        <v>125</v>
      </c>
      <c r="HJ22" s="53">
        <f t="shared" si="15"/>
        <v>168524</v>
      </c>
      <c r="HK22" s="53">
        <f t="shared" si="15"/>
        <v>10590.68</v>
      </c>
      <c r="HL22" s="53">
        <f t="shared" si="15"/>
        <v>3045</v>
      </c>
      <c r="HM22" s="53">
        <f t="shared" si="15"/>
        <v>999</v>
      </c>
      <c r="HN22" s="53">
        <f t="shared" si="15"/>
        <v>127353.88800000001</v>
      </c>
      <c r="HO22" s="53">
        <f t="shared" si="15"/>
        <v>2256.2780000000002</v>
      </c>
      <c r="HP22" s="53">
        <f t="shared" si="15"/>
        <v>5405.4</v>
      </c>
      <c r="HQ22" s="53">
        <f t="shared" si="15"/>
        <v>3180</v>
      </c>
      <c r="HR22" s="53">
        <f t="shared" si="15"/>
        <v>0</v>
      </c>
      <c r="HS22" s="53">
        <f t="shared" si="15"/>
        <v>0</v>
      </c>
      <c r="HT22" s="53">
        <f t="shared" si="15"/>
        <v>0</v>
      </c>
      <c r="HU22" s="53">
        <f t="shared" si="15"/>
        <v>1828.6</v>
      </c>
      <c r="HV22" s="53">
        <f t="shared" si="15"/>
        <v>51799.899999999994</v>
      </c>
      <c r="HW22" s="53">
        <f t="shared" si="15"/>
        <v>5734.9</v>
      </c>
      <c r="HX22" s="53">
        <f t="shared" si="15"/>
        <v>8161.5999999999995</v>
      </c>
      <c r="HY22" s="53">
        <f t="shared" si="15"/>
        <v>11459.6</v>
      </c>
      <c r="HZ22" s="53">
        <f t="shared" si="15"/>
        <v>7971</v>
      </c>
      <c r="IA22" s="53">
        <f t="shared" si="15"/>
        <v>26321.414000000001</v>
      </c>
      <c r="IB22" s="53">
        <f t="shared" si="15"/>
        <v>76602.723000000013</v>
      </c>
      <c r="IC22" s="53">
        <f t="shared" si="15"/>
        <v>11872.092999999997</v>
      </c>
      <c r="ID22" s="53">
        <f t="shared" si="15"/>
        <v>2850</v>
      </c>
      <c r="IE22" s="53">
        <f t="shared" si="15"/>
        <v>0</v>
      </c>
      <c r="IF22" s="53">
        <f t="shared" si="15"/>
        <v>4443.7</v>
      </c>
      <c r="IG22" s="53">
        <f t="shared" si="15"/>
        <v>0</v>
      </c>
      <c r="IH22" s="53">
        <f t="shared" si="15"/>
        <v>0</v>
      </c>
      <c r="II22" s="53">
        <f t="shared" si="15"/>
        <v>40304.531000000003</v>
      </c>
      <c r="IJ22" s="53">
        <f t="shared" si="15"/>
        <v>4393.7929999999997</v>
      </c>
      <c r="IK22" s="53">
        <f t="shared" si="15"/>
        <v>4167.3</v>
      </c>
      <c r="IL22" s="53">
        <f t="shared" si="15"/>
        <v>8565</v>
      </c>
      <c r="IM22" s="53">
        <f t="shared" si="15"/>
        <v>7376.1319999999996</v>
      </c>
      <c r="IN22" s="53">
        <f t="shared" si="15"/>
        <v>2544</v>
      </c>
      <c r="IO22" s="53">
        <f>IO23+IO24+IO25+IO26+IO27+IO28+IO29+IO30+IO31+IO32</f>
        <v>13628.960000000001</v>
      </c>
      <c r="IP22" s="53">
        <f>IP23+IO24+IP25+IP26+IP27+IP28+IP29+IP30+IP31+IP32</f>
        <v>29530.959999999999</v>
      </c>
      <c r="IQ22" s="53">
        <f t="shared" si="15"/>
        <v>512.64</v>
      </c>
      <c r="IR22" s="53">
        <f t="shared" si="15"/>
        <v>127196.08799999999</v>
      </c>
      <c r="IS22" s="53">
        <f t="shared" si="15"/>
        <v>49049.599999999999</v>
      </c>
      <c r="IT22" s="53">
        <f t="shared" ref="IT22:LE22" si="16">IT23+IT24+IT25+IT26+IT27+IT28+IT29+IT30+IT31+IT32</f>
        <v>298.5</v>
      </c>
      <c r="IU22" s="53">
        <f t="shared" si="16"/>
        <v>243</v>
      </c>
      <c r="IV22" s="53">
        <f t="shared" si="16"/>
        <v>7380</v>
      </c>
      <c r="IW22" s="53">
        <f t="shared" si="16"/>
        <v>68793.200000000012</v>
      </c>
      <c r="IX22" s="53">
        <f t="shared" si="16"/>
        <v>11430.32</v>
      </c>
      <c r="IY22" s="53">
        <f t="shared" si="16"/>
        <v>0</v>
      </c>
      <c r="IZ22" s="53">
        <f t="shared" si="16"/>
        <v>612.42499999999995</v>
      </c>
      <c r="JA22" s="53">
        <f t="shared" si="16"/>
        <v>12243.38</v>
      </c>
      <c r="JB22" s="53">
        <f t="shared" si="16"/>
        <v>0</v>
      </c>
      <c r="JC22" s="53">
        <f t="shared" si="16"/>
        <v>3120</v>
      </c>
      <c r="JD22" s="53">
        <f t="shared" si="16"/>
        <v>48913.027000000002</v>
      </c>
      <c r="JE22" s="53">
        <f t="shared" si="16"/>
        <v>10655.505000000001</v>
      </c>
      <c r="JF22" s="53">
        <f t="shared" si="16"/>
        <v>3723.8</v>
      </c>
      <c r="JG22" s="53">
        <f t="shared" si="16"/>
        <v>11663</v>
      </c>
      <c r="JH22" s="53">
        <f t="shared" si="16"/>
        <v>4825.6000000000004</v>
      </c>
      <c r="JI22" s="53">
        <f t="shared" si="16"/>
        <v>0</v>
      </c>
      <c r="JJ22" s="53">
        <f t="shared" si="16"/>
        <v>13866.4</v>
      </c>
      <c r="JK22" s="53">
        <f t="shared" si="16"/>
        <v>0</v>
      </c>
      <c r="JL22" s="53">
        <f t="shared" si="16"/>
        <v>8265.8240000000005</v>
      </c>
      <c r="JM22" s="53">
        <f t="shared" si="16"/>
        <v>138625.20000000001</v>
      </c>
      <c r="JN22" s="53">
        <f t="shared" si="16"/>
        <v>155180.27100000001</v>
      </c>
      <c r="JO22" s="53">
        <f t="shared" si="16"/>
        <v>73330.700000000012</v>
      </c>
      <c r="JP22" s="53">
        <f t="shared" si="16"/>
        <v>0</v>
      </c>
      <c r="JQ22" s="53">
        <f t="shared" si="16"/>
        <v>66625.782999999996</v>
      </c>
      <c r="JR22" s="53">
        <f t="shared" si="16"/>
        <v>1185</v>
      </c>
      <c r="JS22" s="53">
        <f t="shared" si="16"/>
        <v>0</v>
      </c>
      <c r="JT22" s="53">
        <f t="shared" si="16"/>
        <v>86153.241000000009</v>
      </c>
      <c r="JU22" s="53">
        <f t="shared" si="16"/>
        <v>41385.899999999994</v>
      </c>
      <c r="JV22" s="53">
        <f t="shared" si="16"/>
        <v>2477.8000000000002</v>
      </c>
      <c r="JW22" s="53">
        <f t="shared" si="16"/>
        <v>968197.8</v>
      </c>
      <c r="JX22" s="53">
        <f t="shared" si="16"/>
        <v>9326.1190000000006</v>
      </c>
      <c r="JY22" s="53">
        <f t="shared" si="16"/>
        <v>555</v>
      </c>
      <c r="JZ22" s="53">
        <f t="shared" si="16"/>
        <v>900.6</v>
      </c>
      <c r="KA22" s="53">
        <f t="shared" si="16"/>
        <v>5800</v>
      </c>
      <c r="KB22" s="53">
        <f t="shared" si="16"/>
        <v>8716.44</v>
      </c>
      <c r="KC22" s="53">
        <f t="shared" si="16"/>
        <v>7382</v>
      </c>
      <c r="KD22" s="53">
        <f t="shared" si="16"/>
        <v>427</v>
      </c>
      <c r="KE22" s="53">
        <f t="shared" si="16"/>
        <v>3185.7</v>
      </c>
      <c r="KF22" s="53">
        <f t="shared" si="16"/>
        <v>1747.4</v>
      </c>
      <c r="KG22" s="53">
        <f t="shared" si="16"/>
        <v>174910.98499999999</v>
      </c>
      <c r="KH22" s="53">
        <f t="shared" si="16"/>
        <v>0</v>
      </c>
      <c r="KI22" s="53">
        <f t="shared" si="16"/>
        <v>37290</v>
      </c>
      <c r="KJ22" s="53">
        <f t="shared" si="16"/>
        <v>3628.8549999999996</v>
      </c>
      <c r="KK22" s="53">
        <f t="shared" si="16"/>
        <v>6933</v>
      </c>
      <c r="KL22" s="53">
        <f t="shared" si="16"/>
        <v>621.34</v>
      </c>
      <c r="KM22" s="53">
        <f t="shared" si="16"/>
        <v>5445.6</v>
      </c>
      <c r="KN22" s="53">
        <f t="shared" si="16"/>
        <v>8285.4</v>
      </c>
      <c r="KO22" s="53">
        <f t="shared" si="16"/>
        <v>4926</v>
      </c>
      <c r="KP22" s="53">
        <f t="shared" si="16"/>
        <v>39801</v>
      </c>
      <c r="KQ22" s="53">
        <f t="shared" si="16"/>
        <v>7358.25</v>
      </c>
      <c r="KR22" s="53">
        <f t="shared" si="16"/>
        <v>13800</v>
      </c>
      <c r="KS22" s="53">
        <f t="shared" si="16"/>
        <v>2400</v>
      </c>
      <c r="KT22" s="53">
        <f t="shared" si="16"/>
        <v>2980.6</v>
      </c>
      <c r="KU22" s="53">
        <f t="shared" si="16"/>
        <v>1290</v>
      </c>
      <c r="KV22" s="53">
        <f t="shared" si="16"/>
        <v>0</v>
      </c>
      <c r="KW22" s="53">
        <f t="shared" si="16"/>
        <v>1220709.7949999999</v>
      </c>
      <c r="KX22" s="53">
        <f t="shared" si="16"/>
        <v>7283</v>
      </c>
      <c r="KY22" s="53">
        <f t="shared" si="16"/>
        <v>16091.539999999999</v>
      </c>
      <c r="KZ22" s="53">
        <f t="shared" si="16"/>
        <v>0</v>
      </c>
      <c r="LA22" s="53">
        <f t="shared" si="16"/>
        <v>0</v>
      </c>
      <c r="LB22" s="53">
        <f t="shared" si="16"/>
        <v>2298</v>
      </c>
      <c r="LC22" s="53">
        <f t="shared" si="16"/>
        <v>806</v>
      </c>
      <c r="LD22" s="53">
        <f t="shared" si="16"/>
        <v>0</v>
      </c>
      <c r="LE22" s="53">
        <f t="shared" si="16"/>
        <v>0</v>
      </c>
      <c r="LF22" s="53">
        <f t="shared" ref="LF22:MW22" si="17">LF23+LF24+LF25+LF26+LF27+LF28+LF29+LF30+LF31+LF32</f>
        <v>5505520.0130000003</v>
      </c>
      <c r="LG22" s="53">
        <f t="shared" si="17"/>
        <v>160968.30000000002</v>
      </c>
      <c r="LH22" s="53">
        <f t="shared" si="17"/>
        <v>45285</v>
      </c>
      <c r="LI22" s="53">
        <f t="shared" si="17"/>
        <v>0</v>
      </c>
      <c r="LJ22" s="53">
        <f t="shared" si="17"/>
        <v>0</v>
      </c>
      <c r="LK22" s="53">
        <f t="shared" si="17"/>
        <v>2857.5</v>
      </c>
      <c r="LL22" s="53">
        <f t="shared" si="17"/>
        <v>900</v>
      </c>
      <c r="LM22" s="53">
        <f t="shared" si="17"/>
        <v>1058.586</v>
      </c>
      <c r="LN22" s="53">
        <f t="shared" si="17"/>
        <v>20303.8</v>
      </c>
      <c r="LO22" s="53">
        <f t="shared" si="17"/>
        <v>885</v>
      </c>
      <c r="LP22" s="53">
        <f t="shared" si="17"/>
        <v>555</v>
      </c>
      <c r="LQ22" s="53">
        <f t="shared" si="17"/>
        <v>3075</v>
      </c>
      <c r="LR22" s="53">
        <f t="shared" si="17"/>
        <v>50826.116999999998</v>
      </c>
      <c r="LS22" s="53">
        <f t="shared" si="17"/>
        <v>0</v>
      </c>
      <c r="LT22" s="53">
        <f t="shared" si="17"/>
        <v>8908</v>
      </c>
      <c r="LU22" s="53">
        <f t="shared" si="17"/>
        <v>1284.3499999999999</v>
      </c>
      <c r="LV22" s="53">
        <f t="shared" si="17"/>
        <v>11718.071</v>
      </c>
      <c r="LW22" s="53">
        <f t="shared" si="17"/>
        <v>40071.286</v>
      </c>
      <c r="LX22" s="53">
        <f t="shared" si="17"/>
        <v>7429.6989999999996</v>
      </c>
      <c r="LY22" s="53">
        <f t="shared" si="17"/>
        <v>9729.33</v>
      </c>
      <c r="LZ22" s="53">
        <f t="shared" si="17"/>
        <v>1625.8000000000002</v>
      </c>
      <c r="MA22" s="53">
        <f t="shared" si="17"/>
        <v>2310</v>
      </c>
      <c r="MB22" s="53">
        <f t="shared" si="17"/>
        <v>37515.25</v>
      </c>
      <c r="MC22" s="53">
        <f t="shared" si="17"/>
        <v>9575</v>
      </c>
      <c r="MD22" s="53">
        <f t="shared" si="17"/>
        <v>23639.476999999999</v>
      </c>
      <c r="ME22" s="53">
        <f t="shared" si="17"/>
        <v>21337.200000000001</v>
      </c>
      <c r="MF22" s="53">
        <f t="shared" si="17"/>
        <v>265.24</v>
      </c>
      <c r="MG22" s="53">
        <f t="shared" si="17"/>
        <v>4083.9</v>
      </c>
      <c r="MH22" s="53">
        <f t="shared" si="17"/>
        <v>182.42</v>
      </c>
      <c r="MI22" s="53">
        <f t="shared" si="17"/>
        <v>1562513.9249999998</v>
      </c>
      <c r="MJ22" s="53">
        <f t="shared" si="17"/>
        <v>8.8650000000000002</v>
      </c>
      <c r="MK22" s="53">
        <f t="shared" si="17"/>
        <v>92124.7</v>
      </c>
      <c r="ML22" s="53">
        <f t="shared" si="17"/>
        <v>4914637.3620000007</v>
      </c>
      <c r="MM22" s="53">
        <f t="shared" si="17"/>
        <v>0</v>
      </c>
      <c r="MN22" s="53">
        <f t="shared" si="17"/>
        <v>7782</v>
      </c>
      <c r="MO22" s="53">
        <f t="shared" si="17"/>
        <v>0</v>
      </c>
      <c r="MP22" s="53">
        <f t="shared" si="17"/>
        <v>4974.2929999999997</v>
      </c>
      <c r="MQ22" s="53">
        <f t="shared" si="17"/>
        <v>67248.899999999994</v>
      </c>
      <c r="MR22" s="53">
        <f t="shared" si="17"/>
        <v>5220</v>
      </c>
      <c r="MS22" s="53">
        <f t="shared" si="17"/>
        <v>16940</v>
      </c>
      <c r="MT22" s="53">
        <f t="shared" si="17"/>
        <v>927.59999999999991</v>
      </c>
      <c r="MU22" s="53">
        <f t="shared" si="17"/>
        <v>2650.2469999999998</v>
      </c>
      <c r="MV22" s="53">
        <f t="shared" si="17"/>
        <v>30595.444000000003</v>
      </c>
      <c r="MW22" s="53">
        <f t="shared" si="17"/>
        <v>0</v>
      </c>
      <c r="MX22" s="54"/>
      <c r="MY22" s="54"/>
      <c r="MZ22" s="3"/>
      <c r="NA22" s="3"/>
    </row>
    <row r="23" spans="1:365" ht="14.25" x14ac:dyDescent="0.2">
      <c r="A23" s="60" t="s">
        <v>0</v>
      </c>
      <c r="B23" s="60"/>
      <c r="C23" s="56">
        <f t="shared" si="11"/>
        <v>121939355.49999996</v>
      </c>
      <c r="D23" s="47"/>
      <c r="E23" s="47">
        <v>1726.2</v>
      </c>
      <c r="F23" s="47">
        <v>175014.6</v>
      </c>
      <c r="G23" s="47"/>
      <c r="H23" s="47"/>
      <c r="I23" s="47"/>
      <c r="J23" s="47">
        <v>29743.7</v>
      </c>
      <c r="K23" s="47"/>
      <c r="L23" s="47">
        <f>1106.6+33446.9+8167.1</f>
        <v>42720.6</v>
      </c>
      <c r="M23" s="47"/>
      <c r="N23" s="47">
        <v>1944.3</v>
      </c>
      <c r="O23" s="57">
        <f>45858171.9+11842383.7</f>
        <v>57700555.599999994</v>
      </c>
      <c r="P23" s="47">
        <f>5849.9+2047.5</f>
        <v>7897.4</v>
      </c>
      <c r="Q23" s="47"/>
      <c r="R23" s="47"/>
      <c r="S23" s="47">
        <f>13891.3+4167.4</f>
        <v>18058.699999999997</v>
      </c>
      <c r="T23" s="47">
        <v>19161.8</v>
      </c>
      <c r="U23" s="47"/>
      <c r="V23" s="47"/>
      <c r="W23" s="47">
        <v>23605.9</v>
      </c>
      <c r="X23" s="47"/>
      <c r="Y23" s="47">
        <v>7866.5</v>
      </c>
      <c r="Z23" s="47">
        <v>6629.2</v>
      </c>
      <c r="AA23" s="47">
        <v>14466.6</v>
      </c>
      <c r="AB23" s="47">
        <v>903987.9</v>
      </c>
      <c r="AC23" s="47">
        <v>85</v>
      </c>
      <c r="AD23" s="47">
        <f>795.6+238.7</f>
        <v>1034.3</v>
      </c>
      <c r="AE23" s="47">
        <v>303039.5</v>
      </c>
      <c r="AF23" s="47"/>
      <c r="AG23" s="47">
        <v>1282903.8999999999</v>
      </c>
      <c r="AH23" s="47"/>
      <c r="AI23" s="47"/>
      <c r="AJ23" s="47"/>
      <c r="AK23" s="47"/>
      <c r="AL23" s="47">
        <v>800.2</v>
      </c>
      <c r="AM23" s="47">
        <v>7000</v>
      </c>
      <c r="AN23" s="47">
        <v>29500</v>
      </c>
      <c r="AO23" s="47">
        <v>12394.7</v>
      </c>
      <c r="AP23" s="47">
        <v>6051.3</v>
      </c>
      <c r="AQ23" s="47">
        <v>308.10000000000002</v>
      </c>
      <c r="AR23" s="47">
        <v>3823981.1</v>
      </c>
      <c r="AS23" s="57">
        <v>11479673.6</v>
      </c>
      <c r="AT23" s="47">
        <f>37726.3+11317.9</f>
        <v>49044.200000000004</v>
      </c>
      <c r="AU23" s="47"/>
      <c r="AV23" s="47"/>
      <c r="AW23" s="47">
        <v>5014.6000000000004</v>
      </c>
      <c r="AX23" s="47">
        <v>998586.2</v>
      </c>
      <c r="AY23" s="47">
        <v>2359.6</v>
      </c>
      <c r="AZ23" s="47">
        <f>4317.9+1295.4</f>
        <v>5613.2999999999993</v>
      </c>
      <c r="BA23" s="47">
        <v>948.1</v>
      </c>
      <c r="BB23" s="47">
        <v>14972.3</v>
      </c>
      <c r="BC23" s="47">
        <f>44869.4+13460.8</f>
        <v>58330.2</v>
      </c>
      <c r="BD23" s="47"/>
      <c r="BE23" s="47">
        <v>802.8</v>
      </c>
      <c r="BF23" s="47"/>
      <c r="BG23" s="47">
        <v>72445.7</v>
      </c>
      <c r="BH23" s="47">
        <f>1198.4+3994.7</f>
        <v>5193.1000000000004</v>
      </c>
      <c r="BI23" s="47">
        <v>2525.4</v>
      </c>
      <c r="BJ23" s="47">
        <f>6604.8+22015.9</f>
        <v>28620.7</v>
      </c>
      <c r="BK23" s="47"/>
      <c r="BL23" s="47">
        <v>28375.9</v>
      </c>
      <c r="BM23" s="47"/>
      <c r="BN23" s="47">
        <v>3811.4</v>
      </c>
      <c r="BO23" s="47"/>
      <c r="BP23" s="47"/>
      <c r="BQ23" s="47">
        <v>27663.1</v>
      </c>
      <c r="BR23" s="47">
        <v>875</v>
      </c>
      <c r="BS23" s="47">
        <v>14514.2</v>
      </c>
      <c r="BT23" s="47">
        <v>2221.1999999999998</v>
      </c>
      <c r="BU23" s="47"/>
      <c r="BV23" s="47">
        <v>31933.599999999999</v>
      </c>
      <c r="BW23" s="47">
        <v>609.4</v>
      </c>
      <c r="BX23" s="47"/>
      <c r="BY23" s="47"/>
      <c r="BZ23" s="47"/>
      <c r="CA23" s="47">
        <v>2577.6</v>
      </c>
      <c r="CB23" s="47"/>
      <c r="CC23" s="47">
        <v>8626.1</v>
      </c>
      <c r="CD23" s="47"/>
      <c r="CE23" s="47"/>
      <c r="CF23" s="47"/>
      <c r="CG23" s="47">
        <v>2561.8000000000002</v>
      </c>
      <c r="CH23" s="47">
        <v>109577.4</v>
      </c>
      <c r="CI23" s="47"/>
      <c r="CJ23" s="47">
        <f>214821.9+337618+100000</f>
        <v>652439.9</v>
      </c>
      <c r="CK23" s="47"/>
      <c r="CL23" s="47">
        <v>87000</v>
      </c>
      <c r="CM23" s="47">
        <f>194754.5+3811989.9+1058279.3</f>
        <v>5065023.7</v>
      </c>
      <c r="CN23" s="47"/>
      <c r="CO23" s="47"/>
      <c r="CP23" s="47">
        <f>1038692.7+479640.9</f>
        <v>1518333.6</v>
      </c>
      <c r="CQ23" s="47">
        <v>1568.8</v>
      </c>
      <c r="CR23" s="47">
        <v>413.5</v>
      </c>
      <c r="CS23" s="47">
        <v>5079.3</v>
      </c>
      <c r="CT23" s="47"/>
      <c r="CU23" s="47"/>
      <c r="CV23" s="47">
        <f>1077.2+323.2</f>
        <v>1400.4</v>
      </c>
      <c r="CW23" s="47">
        <v>49257.599999999999</v>
      </c>
      <c r="CX23" s="47">
        <v>432.5</v>
      </c>
      <c r="CY23" s="47">
        <v>308949.90000000002</v>
      </c>
      <c r="CZ23" s="47"/>
      <c r="DA23" s="47">
        <v>13500</v>
      </c>
      <c r="DB23" s="47"/>
      <c r="DC23" s="47"/>
      <c r="DD23" s="47"/>
      <c r="DE23" s="47">
        <v>16083.8</v>
      </c>
      <c r="DF23" s="47"/>
      <c r="DG23" s="47"/>
      <c r="DH23" s="47">
        <v>21014.6</v>
      </c>
      <c r="DI23" s="47">
        <f>13393.7+4018.1</f>
        <v>17411.8</v>
      </c>
      <c r="DJ23" s="47">
        <v>237.5</v>
      </c>
      <c r="DK23" s="47">
        <v>13384.3</v>
      </c>
      <c r="DL23" s="47">
        <v>4818.8999999999996</v>
      </c>
      <c r="DM23" s="47">
        <f>5400.5+1804.7</f>
        <v>7205.2</v>
      </c>
      <c r="DN23" s="47"/>
      <c r="DO23" s="47">
        <v>6567.3</v>
      </c>
      <c r="DP23" s="47"/>
      <c r="DQ23" s="47"/>
      <c r="DR23" s="47">
        <v>4533.8</v>
      </c>
      <c r="DS23" s="47">
        <v>500.6</v>
      </c>
      <c r="DT23" s="47"/>
      <c r="DU23" s="47">
        <v>1441.6</v>
      </c>
      <c r="DV23" s="47"/>
      <c r="DW23" s="47">
        <v>323.10000000000002</v>
      </c>
      <c r="DX23" s="47">
        <f>8904.7+2671.4</f>
        <v>11576.1</v>
      </c>
      <c r="DY23" s="47">
        <v>3966.2</v>
      </c>
      <c r="DZ23" s="47">
        <f>16956.9+44369.2</f>
        <v>61326.1</v>
      </c>
      <c r="EA23" s="47">
        <v>14585.2</v>
      </c>
      <c r="EB23" s="47">
        <v>95269.9</v>
      </c>
      <c r="EC23" s="47">
        <v>1360</v>
      </c>
      <c r="ED23" s="47">
        <v>200</v>
      </c>
      <c r="EE23" s="47"/>
      <c r="EF23" s="47"/>
      <c r="EG23" s="47"/>
      <c r="EH23" s="47">
        <v>500</v>
      </c>
      <c r="EI23" s="47"/>
      <c r="EJ23" s="47"/>
      <c r="EK23" s="47"/>
      <c r="EL23" s="47">
        <v>44275.3</v>
      </c>
      <c r="EM23" s="47">
        <f>1498+449.4</f>
        <v>1947.4</v>
      </c>
      <c r="EN23" s="47">
        <f>1135665.3+7042021.7</f>
        <v>8177687</v>
      </c>
      <c r="EO23" s="47"/>
      <c r="EP23" s="47">
        <f>5500+23500</f>
        <v>29000</v>
      </c>
      <c r="EQ23" s="47">
        <f>4648.6+1472.5</f>
        <v>6121.1</v>
      </c>
      <c r="ER23" s="47">
        <f>10351.5+34505</f>
        <v>44856.5</v>
      </c>
      <c r="ES23" s="47">
        <f>5045+1513.5</f>
        <v>6558.5</v>
      </c>
      <c r="ET23" s="47">
        <v>1325.6</v>
      </c>
      <c r="EU23" s="47">
        <v>21550</v>
      </c>
      <c r="EV23" s="47"/>
      <c r="EW23" s="47">
        <v>16698.099999999999</v>
      </c>
      <c r="EX23" s="47"/>
      <c r="EY23" s="47">
        <f>9006.6+239310.6</f>
        <v>248317.2</v>
      </c>
      <c r="EZ23" s="47">
        <v>8557</v>
      </c>
      <c r="FA23" s="47">
        <f>7079.6+128889.8+820545.2</f>
        <v>956514.6</v>
      </c>
      <c r="FB23" s="47">
        <f>116178.1+34845.4</f>
        <v>151023.5</v>
      </c>
      <c r="FC23" s="47"/>
      <c r="FD23" s="47">
        <v>197.8</v>
      </c>
      <c r="FE23" s="47"/>
      <c r="FF23" s="47">
        <v>2373.4</v>
      </c>
      <c r="FG23" s="47"/>
      <c r="FH23" s="47">
        <v>9603.7999999999993</v>
      </c>
      <c r="FI23" s="47">
        <v>36584.300000000003</v>
      </c>
      <c r="FJ23" s="47"/>
      <c r="FK23" s="47"/>
      <c r="FL23" s="47"/>
      <c r="FM23" s="47"/>
      <c r="FN23" s="47">
        <v>160</v>
      </c>
      <c r="FO23" s="47"/>
      <c r="FP23" s="47">
        <v>267.3</v>
      </c>
      <c r="FQ23" s="47"/>
      <c r="FR23" s="47">
        <f>9960678.1+3687550.9</f>
        <v>13648229</v>
      </c>
      <c r="FS23" s="47">
        <f>143659.8+43097.9</f>
        <v>186757.69999999998</v>
      </c>
      <c r="FT23" s="47">
        <f>1078923.6+350041.3</f>
        <v>1428964.9000000001</v>
      </c>
      <c r="FU23" s="47"/>
      <c r="FV23" s="47">
        <v>55520.3</v>
      </c>
      <c r="FW23" s="47">
        <v>102162.7</v>
      </c>
      <c r="FX23" s="47">
        <v>282000</v>
      </c>
      <c r="FY23" s="47"/>
      <c r="FZ23" s="47"/>
      <c r="GA23" s="47"/>
      <c r="GB23" s="47"/>
      <c r="GC23" s="47"/>
      <c r="GD23" s="47"/>
      <c r="GE23" s="47">
        <v>5991.6</v>
      </c>
      <c r="GF23" s="47">
        <v>40568.5</v>
      </c>
      <c r="GG23" s="47">
        <v>24354.7</v>
      </c>
      <c r="GH23" s="47">
        <v>5569.5</v>
      </c>
      <c r="GI23" s="47">
        <v>15000</v>
      </c>
      <c r="GJ23" s="47"/>
      <c r="GK23" s="47"/>
      <c r="GL23" s="47"/>
      <c r="GM23" s="47"/>
      <c r="GN23" s="47"/>
      <c r="GO23" s="47"/>
      <c r="GP23" s="47">
        <f>901.8+31020.6</f>
        <v>31922.399999999998</v>
      </c>
      <c r="GQ23" s="47">
        <v>17723.7</v>
      </c>
      <c r="GR23" s="47"/>
      <c r="GS23" s="47"/>
      <c r="GT23" s="47"/>
      <c r="GU23" s="47"/>
      <c r="GV23" s="47"/>
      <c r="GW23" s="47"/>
      <c r="GX23" s="47">
        <v>7311.8</v>
      </c>
      <c r="GY23" s="47"/>
      <c r="GZ23" s="47">
        <v>284.39999999999998</v>
      </c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>
        <v>6551.2</v>
      </c>
      <c r="HL23" s="47"/>
      <c r="HM23" s="47"/>
      <c r="HN23" s="47"/>
      <c r="HO23" s="47"/>
      <c r="HP23" s="47"/>
      <c r="HQ23" s="47">
        <v>2600</v>
      </c>
      <c r="HR23" s="47"/>
      <c r="HS23" s="47"/>
      <c r="HT23" s="47"/>
      <c r="HU23" s="47">
        <v>1828.6</v>
      </c>
      <c r="HV23" s="47">
        <f>39846.1+11953.8</f>
        <v>51799.899999999994</v>
      </c>
      <c r="HW23" s="47">
        <v>255.9</v>
      </c>
      <c r="HX23" s="47">
        <f>1487.7+4958.9</f>
        <v>6446.5999999999995</v>
      </c>
      <c r="HY23" s="47"/>
      <c r="HZ23" s="47"/>
      <c r="IA23" s="47"/>
      <c r="IB23" s="47">
        <v>74686.100000000006</v>
      </c>
      <c r="IC23" s="47"/>
      <c r="ID23" s="47"/>
      <c r="IE23" s="47"/>
      <c r="IF23" s="47"/>
      <c r="IG23" s="47"/>
      <c r="IH23" s="47"/>
      <c r="II23" s="47"/>
      <c r="IJ23" s="47"/>
      <c r="IK23" s="47">
        <v>1197.9000000000001</v>
      </c>
      <c r="IL23" s="47"/>
      <c r="IM23" s="47">
        <v>3425.8</v>
      </c>
      <c r="IN23" s="47"/>
      <c r="IO23" s="47"/>
      <c r="IP23" s="47">
        <v>17725.7</v>
      </c>
      <c r="IQ23" s="47"/>
      <c r="IR23" s="47">
        <f>25928.9+86429.9</f>
        <v>112358.79999999999</v>
      </c>
      <c r="IS23" s="47">
        <f>12264.1+3679.2</f>
        <v>15943.3</v>
      </c>
      <c r="IT23" s="47">
        <v>298.5</v>
      </c>
      <c r="IU23" s="47"/>
      <c r="IV23" s="47"/>
      <c r="IW23" s="47">
        <f>3938+16998.4</f>
        <v>20936.400000000001</v>
      </c>
      <c r="IX23" s="47">
        <v>3153.7</v>
      </c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>
        <v>13866.4</v>
      </c>
      <c r="JK23" s="47"/>
      <c r="JL23" s="47">
        <f>1395.5+700</f>
        <v>2095.5</v>
      </c>
      <c r="JM23" s="47">
        <v>138485.20000000001</v>
      </c>
      <c r="JN23" s="47"/>
      <c r="JO23" s="47"/>
      <c r="JP23" s="47"/>
      <c r="JQ23" s="47"/>
      <c r="JR23" s="47"/>
      <c r="JS23" s="47"/>
      <c r="JT23" s="47"/>
      <c r="JU23" s="47">
        <v>23615.7</v>
      </c>
      <c r="JV23" s="47"/>
      <c r="JW23" s="47">
        <f>726935.4+174005.9</f>
        <v>900941.3</v>
      </c>
      <c r="JX23" s="47"/>
      <c r="JY23" s="47"/>
      <c r="JZ23" s="47"/>
      <c r="KA23" s="47"/>
      <c r="KB23" s="47"/>
      <c r="KC23" s="47"/>
      <c r="KD23" s="47"/>
      <c r="KE23" s="47"/>
      <c r="KF23" s="47"/>
      <c r="KG23" s="47">
        <f>98863.7+29659.1</f>
        <v>128522.79999999999</v>
      </c>
      <c r="KH23" s="47"/>
      <c r="KI23" s="47">
        <v>22263.5</v>
      </c>
      <c r="KJ23" s="47">
        <v>2865.2</v>
      </c>
      <c r="KK23" s="47"/>
      <c r="KL23" s="47"/>
      <c r="KM23" s="47">
        <v>2252.9</v>
      </c>
      <c r="KN23" s="47"/>
      <c r="KO23" s="47"/>
      <c r="KP23" s="47"/>
      <c r="KQ23" s="47"/>
      <c r="KR23" s="47"/>
      <c r="KS23" s="47"/>
      <c r="KT23" s="47">
        <v>670.6</v>
      </c>
      <c r="KU23" s="47"/>
      <c r="KV23" s="47"/>
      <c r="KW23" s="47">
        <v>31112.3</v>
      </c>
      <c r="KX23" s="47"/>
      <c r="KY23" s="47"/>
      <c r="KZ23" s="47"/>
      <c r="LA23" s="47"/>
      <c r="LB23" s="47"/>
      <c r="LC23" s="47"/>
      <c r="LD23" s="47"/>
      <c r="LE23" s="47"/>
      <c r="LF23" s="47">
        <v>3214210.3</v>
      </c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>
        <v>5981.1</v>
      </c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>
        <v>20417.7</v>
      </c>
      <c r="MF23" s="47">
        <v>65</v>
      </c>
      <c r="MG23" s="47">
        <v>277.3</v>
      </c>
      <c r="MH23" s="47"/>
      <c r="MI23" s="47">
        <f>1049925.8+328554.1</f>
        <v>1378479.9</v>
      </c>
      <c r="MJ23" s="47"/>
      <c r="MK23" s="47"/>
      <c r="ML23" s="47">
        <v>4718796.7</v>
      </c>
      <c r="MM23" s="47"/>
      <c r="MN23" s="47"/>
      <c r="MO23" s="47"/>
      <c r="MP23" s="47"/>
      <c r="MQ23" s="47"/>
      <c r="MR23" s="47"/>
      <c r="MS23" s="47">
        <v>6812.4</v>
      </c>
      <c r="MT23" s="47">
        <v>366.8</v>
      </c>
      <c r="MU23" s="47"/>
      <c r="MV23" s="47">
        <f>6556.2+21853.9</f>
        <v>28410.100000000002</v>
      </c>
      <c r="MW23" s="47"/>
      <c r="MX23" s="14"/>
      <c r="MY23" s="14"/>
      <c r="MZ23" s="2"/>
      <c r="NA23" s="2"/>
    </row>
    <row r="24" spans="1:365" ht="28.5" x14ac:dyDescent="0.2">
      <c r="A24" s="55" t="s">
        <v>22</v>
      </c>
      <c r="B24" s="55"/>
      <c r="C24" s="56">
        <f t="shared" si="11"/>
        <v>3658714.7369999988</v>
      </c>
      <c r="D24" s="47"/>
      <c r="E24" s="47"/>
      <c r="F24" s="47"/>
      <c r="G24" s="47">
        <v>3942.6</v>
      </c>
      <c r="H24" s="47"/>
      <c r="I24" s="47">
        <v>190.4</v>
      </c>
      <c r="J24" s="47">
        <f>36750.5+9192.1+963.8+490.4</f>
        <v>47396.800000000003</v>
      </c>
      <c r="K24" s="47"/>
      <c r="L24" s="47"/>
      <c r="M24" s="47"/>
      <c r="N24" s="47">
        <f>193.9+715.4+57.7+187+54.9+8.1+4.2</f>
        <v>1221.2</v>
      </c>
      <c r="O24" s="47"/>
      <c r="P24" s="47">
        <v>87.4</v>
      </c>
      <c r="Q24" s="47">
        <v>1858.5</v>
      </c>
      <c r="R24" s="47"/>
      <c r="S24" s="47">
        <f>340.5+18323.2</f>
        <v>18663.7</v>
      </c>
      <c r="T24" s="47">
        <f>8140.8+10128.4+569.1+5677.2+31930.4+9282.4+9275.4+2935.1</f>
        <v>77938.8</v>
      </c>
      <c r="U24" s="47">
        <v>63.6</v>
      </c>
      <c r="V24" s="47">
        <f>99344.6+186033.1+38625.5+1930.4</f>
        <v>325933.60000000003</v>
      </c>
      <c r="W24" s="47">
        <f>3751.6+321+249.6+931+3762.3</f>
        <v>9015.5</v>
      </c>
      <c r="X24" s="47"/>
      <c r="Y24" s="47"/>
      <c r="Z24" s="47"/>
      <c r="AA24" s="47"/>
      <c r="AB24" s="47"/>
      <c r="AC24" s="47"/>
      <c r="AD24" s="47">
        <f>898.2+139.5+963.2+7.1</f>
        <v>2008</v>
      </c>
      <c r="AE24" s="47"/>
      <c r="AF24" s="47"/>
      <c r="AG24" s="47"/>
      <c r="AH24" s="47">
        <v>387.1</v>
      </c>
      <c r="AI24" s="47">
        <f>3264.4+766.5</f>
        <v>4030.9</v>
      </c>
      <c r="AJ24" s="47"/>
      <c r="AK24" s="47"/>
      <c r="AL24" s="47">
        <f>2280.2+1943.4</f>
        <v>4223.6000000000004</v>
      </c>
      <c r="AM24" s="47">
        <v>511.4</v>
      </c>
      <c r="AN24" s="47">
        <v>98.3</v>
      </c>
      <c r="AO24" s="47">
        <v>4134.1000000000004</v>
      </c>
      <c r="AP24" s="47">
        <f>1091+586</f>
        <v>1677</v>
      </c>
      <c r="AQ24" s="47"/>
      <c r="AR24" s="47"/>
      <c r="AS24" s="47">
        <f>600.8+12578.7+13731.9+19640+789.1</f>
        <v>47340.5</v>
      </c>
      <c r="AT24" s="47">
        <v>4124</v>
      </c>
      <c r="AU24" s="47"/>
      <c r="AV24" s="47"/>
      <c r="AW24" s="47">
        <f>1217.5+4645.2+2470.1+307+3063.1+831.1+2446.2+735.8+1256.5</f>
        <v>16972.5</v>
      </c>
      <c r="AX24" s="47">
        <f>2694.8+2015.8+17429.3+2306.5+2047.8+3450.2+18747.4+848.7+2058.2+2549.2+12476.8+1620.6+386.2+251.3+853+11</f>
        <v>69746.8</v>
      </c>
      <c r="AY24" s="47"/>
      <c r="AZ24" s="47">
        <f>2200.9+676.9</f>
        <v>2877.8</v>
      </c>
      <c r="BA24" s="47"/>
      <c r="BB24" s="47">
        <f>1191.75+1065</f>
        <v>2256.75</v>
      </c>
      <c r="BC24" s="47">
        <f>1578.32+4613.53+3325.6</f>
        <v>9517.4499999999989</v>
      </c>
      <c r="BD24" s="47">
        <v>77.92</v>
      </c>
      <c r="BE24" s="47">
        <v>683.52</v>
      </c>
      <c r="BF24" s="47">
        <v>178.9</v>
      </c>
      <c r="BG24" s="47">
        <f>401+444+3980.65+2325.73+547.51+7287.08+1068.85+4381.35</f>
        <v>20436.169999999998</v>
      </c>
      <c r="BH24" s="47">
        <f>5102.22+879.5</f>
        <v>5981.72</v>
      </c>
      <c r="BI24" s="47">
        <v>2266.5</v>
      </c>
      <c r="BJ24" s="47">
        <f>8463.07+1366.3+19.2</f>
        <v>9848.57</v>
      </c>
      <c r="BK24" s="47"/>
      <c r="BL24" s="47">
        <f>2216.2+2386.5+6852.8+1412.8+576+1045.4+1541.7+4169.2</f>
        <v>20200.599999999999</v>
      </c>
      <c r="BM24" s="47"/>
      <c r="BN24" s="47">
        <v>823.65</v>
      </c>
      <c r="BO24" s="47"/>
      <c r="BP24" s="47"/>
      <c r="BQ24" s="47">
        <v>769.5</v>
      </c>
      <c r="BR24" s="47">
        <f>214.2+228.48</f>
        <v>442.67999999999995</v>
      </c>
      <c r="BS24" s="47">
        <f>21072+463.55+145</f>
        <v>21680.55</v>
      </c>
      <c r="BT24" s="47">
        <v>608.61</v>
      </c>
      <c r="BU24" s="47"/>
      <c r="BV24" s="47">
        <v>6504.5249999999996</v>
      </c>
      <c r="BW24" s="47">
        <f>162.55+87.78+71.522</f>
        <v>321.85200000000003</v>
      </c>
      <c r="BX24" s="47">
        <v>5758.6620000000003</v>
      </c>
      <c r="BY24" s="47">
        <v>378.41199999999998</v>
      </c>
      <c r="BZ24" s="47"/>
      <c r="CA24" s="47"/>
      <c r="CB24" s="47"/>
      <c r="CC24" s="47">
        <v>24.24</v>
      </c>
      <c r="CD24" s="47"/>
      <c r="CE24" s="47">
        <v>1660.2</v>
      </c>
      <c r="CF24" s="47">
        <f>32.2+224.061</f>
        <v>256.26100000000002</v>
      </c>
      <c r="CG24" s="47">
        <f>955.02+854.992+1022.245+121.352+136.768+22.1</f>
        <v>3112.4769999999999</v>
      </c>
      <c r="CH24" s="47">
        <f>3459.215+17815.85</f>
        <v>21275.064999999999</v>
      </c>
      <c r="CI24" s="47">
        <f>25193.64+21310.196+65185.286+7565.734+921.735+44524.933</f>
        <v>164701.524</v>
      </c>
      <c r="CJ24" s="47"/>
      <c r="CK24" s="47">
        <f>11963.12+8702.544+10447.762+13703.035+1904.835+5490.14+3511.49+1668.614+337.965+401.84+46506.074+16855.313+34155.933+12923.354+5378.815+5197.739</f>
        <v>179148.57299999997</v>
      </c>
      <c r="CL24" s="47">
        <v>1944.6610000000001</v>
      </c>
      <c r="CM24" s="47">
        <f>857.612+10400.364+429.357+891.771+47.136+1114.136+499.933+132.839</f>
        <v>14373.148000000001</v>
      </c>
      <c r="CN24" s="47"/>
      <c r="CO24" s="47">
        <f>73.74+46.7+4273+4635.75</f>
        <v>9029.1899999999987</v>
      </c>
      <c r="CP24" s="47"/>
      <c r="CQ24" s="47">
        <v>2029</v>
      </c>
      <c r="CR24" s="47"/>
      <c r="CS24" s="47"/>
      <c r="CT24" s="47"/>
      <c r="CU24" s="47">
        <v>531.78499999999997</v>
      </c>
      <c r="CV24" s="47">
        <v>2213.6</v>
      </c>
      <c r="CW24" s="47"/>
      <c r="CX24" s="47">
        <v>35.71</v>
      </c>
      <c r="CY24" s="47"/>
      <c r="CZ24" s="47"/>
      <c r="DA24" s="47"/>
      <c r="DB24" s="47"/>
      <c r="DC24" s="47"/>
      <c r="DD24" s="47">
        <v>5886.0860000000002</v>
      </c>
      <c r="DE24" s="47">
        <v>3132.5340000000001</v>
      </c>
      <c r="DF24" s="47"/>
      <c r="DG24" s="47">
        <v>220.976</v>
      </c>
      <c r="DH24" s="47"/>
      <c r="DI24" s="47">
        <f>1255.481+856.92</f>
        <v>2112.4009999999998</v>
      </c>
      <c r="DJ24" s="47">
        <f>76349.85+47094.3</f>
        <v>123444.15000000001</v>
      </c>
      <c r="DK24" s="47">
        <f>9967.74</f>
        <v>9967.74</v>
      </c>
      <c r="DL24" s="47"/>
      <c r="DM24" s="47"/>
      <c r="DN24" s="47"/>
      <c r="DO24" s="47">
        <f>601.25</f>
        <v>601.25</v>
      </c>
      <c r="DP24" s="47">
        <f>1208.088+1407.294+782.576</f>
        <v>3397.9580000000001</v>
      </c>
      <c r="DQ24" s="47"/>
      <c r="DR24" s="47">
        <f>195.021</f>
        <v>195.02099999999999</v>
      </c>
      <c r="DS24" s="47">
        <f>162.333</f>
        <v>162.333</v>
      </c>
      <c r="DT24" s="47"/>
      <c r="DU24" s="47">
        <f>876.7</f>
        <v>876.7</v>
      </c>
      <c r="DV24" s="47">
        <f>2978.76+1756.23</f>
        <v>4734.99</v>
      </c>
      <c r="DW24" s="47">
        <f>4483.55</f>
        <v>4483.55</v>
      </c>
      <c r="DX24" s="47">
        <v>530.44100000000003</v>
      </c>
      <c r="DY24" s="47"/>
      <c r="DZ24" s="47">
        <f>2944.066+7911.54+10290.254+495.802+100.597</f>
        <v>21742.259000000002</v>
      </c>
      <c r="EA24" s="47">
        <f>2428.356+132</f>
        <v>2560.3560000000002</v>
      </c>
      <c r="EB24" s="47">
        <f>8783.478</f>
        <v>8783.4779999999992</v>
      </c>
      <c r="EC24" s="47"/>
      <c r="ED24" s="47"/>
      <c r="EE24" s="47">
        <f>5960.044</f>
        <v>5960.0439999999999</v>
      </c>
      <c r="EF24" s="47"/>
      <c r="EG24" s="47">
        <f>270.52</f>
        <v>270.52</v>
      </c>
      <c r="EH24" s="47"/>
      <c r="EI24" s="47">
        <f>8785.9+184.238+179.375</f>
        <v>9149.512999999999</v>
      </c>
      <c r="EJ24" s="62">
        <f>57.85</f>
        <v>57.85</v>
      </c>
      <c r="EK24" s="47">
        <f>555.2</f>
        <v>555.20000000000005</v>
      </c>
      <c r="EL24" s="47">
        <f>2128.7+4973.512+3223.83+3214.411+64.921+445.509</f>
        <v>14050.883</v>
      </c>
      <c r="EM24" s="47">
        <f>2385.6+802.475+327.759+968.286</f>
        <v>4484.12</v>
      </c>
      <c r="EN24" s="47"/>
      <c r="EO24" s="47"/>
      <c r="EP24" s="47">
        <f>1070.2+437.7</f>
        <v>1507.9</v>
      </c>
      <c r="EQ24" s="47">
        <f>2259.63</f>
        <v>2259.63</v>
      </c>
      <c r="ER24" s="47">
        <f>2958.093+1665.144+190.346+883.89+1938.662+31.042</f>
        <v>7667.1770000000015</v>
      </c>
      <c r="ES24" s="47">
        <f>4247.042</f>
        <v>4247.0420000000004</v>
      </c>
      <c r="ET24" s="47">
        <f>10.7</f>
        <v>10.7</v>
      </c>
      <c r="EU24" s="47">
        <f>220.524+162.583+583.74+1580.57</f>
        <v>2547.4169999999999</v>
      </c>
      <c r="EV24" s="47"/>
      <c r="EW24" s="47"/>
      <c r="EX24" s="47">
        <f>7458.89</f>
        <v>7458.89</v>
      </c>
      <c r="EY24" s="47">
        <f>13195.244</f>
        <v>13195.244000000001</v>
      </c>
      <c r="EZ24" s="47">
        <f>428.511</f>
        <v>428.51100000000002</v>
      </c>
      <c r="FA24" s="47"/>
      <c r="FB24" s="47"/>
      <c r="FC24" s="47"/>
      <c r="FD24" s="47">
        <f>375.56+195.7</f>
        <v>571.26</v>
      </c>
      <c r="FE24" s="47">
        <f>441.378</f>
        <v>441.37799999999999</v>
      </c>
      <c r="FF24" s="47">
        <f>675.79+1544.474</f>
        <v>2220.2640000000001</v>
      </c>
      <c r="FG24" s="47"/>
      <c r="FH24" s="47">
        <f>5480.811+9879.23</f>
        <v>15360.040999999999</v>
      </c>
      <c r="FI24" s="47">
        <f>1539.33+16953.45+8514.255</f>
        <v>27007.034999999996</v>
      </c>
      <c r="FJ24" s="47">
        <f>254.375+1429.4</f>
        <v>1683.7750000000001</v>
      </c>
      <c r="FK24" s="47"/>
      <c r="FL24" s="47"/>
      <c r="FM24" s="47">
        <f>291.46+757.48+28.435+739.277+705.391+354.936+15.642+1333.43</f>
        <v>4226.0510000000004</v>
      </c>
      <c r="FN24" s="47">
        <f>117.492+2.975</f>
        <v>120.467</v>
      </c>
      <c r="FO24" s="47">
        <f>7225.861+262.758</f>
        <v>7488.6189999999997</v>
      </c>
      <c r="FP24" s="47">
        <f>1296.66</f>
        <v>1296.6600000000001</v>
      </c>
      <c r="FQ24" s="47"/>
      <c r="FR24" s="47"/>
      <c r="FS24" s="47"/>
      <c r="FT24" s="47"/>
      <c r="FU24" s="47"/>
      <c r="FV24" s="47">
        <v>631.29499999999996</v>
      </c>
      <c r="FW24" s="47">
        <f>976.66+1332.076</f>
        <v>2308.7359999999999</v>
      </c>
      <c r="FX24" s="47">
        <f>657.68</f>
        <v>657.68</v>
      </c>
      <c r="FY24" s="47">
        <f>7746.228+7340.46+6061.314+483.83+1001.21</f>
        <v>22633.042000000001</v>
      </c>
      <c r="FZ24" s="47"/>
      <c r="GA24" s="47"/>
      <c r="GB24" s="47"/>
      <c r="GC24" s="47"/>
      <c r="GD24" s="47"/>
      <c r="GE24" s="47"/>
      <c r="GF24" s="47">
        <v>665.69</v>
      </c>
      <c r="GG24" s="47"/>
      <c r="GH24" s="47"/>
      <c r="GI24" s="47"/>
      <c r="GJ24" s="47"/>
      <c r="GK24" s="47"/>
      <c r="GL24" s="47"/>
      <c r="GM24" s="47"/>
      <c r="GN24" s="47"/>
      <c r="GO24" s="47">
        <f>4219.304+3291.182+2222.436+2579.253+569.884+386.93</f>
        <v>13268.989000000001</v>
      </c>
      <c r="GP24" s="47"/>
      <c r="GQ24" s="47"/>
      <c r="GR24" s="48">
        <f>3240.586+7191.706</f>
        <v>10432.291999999999</v>
      </c>
      <c r="GS24" s="47">
        <f>693.864+544.973</f>
        <v>1238.837</v>
      </c>
      <c r="GT24" s="47"/>
      <c r="GU24" s="47">
        <f>3894+2272+676.75+401.783</f>
        <v>7244.5330000000004</v>
      </c>
      <c r="GV24" s="47"/>
      <c r="GW24" s="47"/>
      <c r="GX24" s="47">
        <f>947.76+1141.62</f>
        <v>2089.38</v>
      </c>
      <c r="GY24" s="47">
        <v>1342.326</v>
      </c>
      <c r="GZ24" s="47"/>
      <c r="HA24" s="47"/>
      <c r="HB24" s="47">
        <v>8841.9670000000006</v>
      </c>
      <c r="HC24" s="47"/>
      <c r="HD24" s="47"/>
      <c r="HE24" s="47"/>
      <c r="HF24" s="47">
        <f>10.878+231.153</f>
        <v>242.03100000000001</v>
      </c>
      <c r="HG24" s="47">
        <v>1097.0999999999999</v>
      </c>
      <c r="HH24" s="47"/>
      <c r="HI24" s="47"/>
      <c r="HJ24" s="47"/>
      <c r="HK24" s="47">
        <f>2763.9+1275.58</f>
        <v>4039.48</v>
      </c>
      <c r="HL24" s="47"/>
      <c r="HM24" s="47"/>
      <c r="HN24" s="47">
        <v>18531.887999999999</v>
      </c>
      <c r="HO24" s="47">
        <f>1061.707+1194.571</f>
        <v>2256.2780000000002</v>
      </c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>
        <v>7971</v>
      </c>
      <c r="IA24" s="47">
        <f>10653.249+4811.398+2806.767</f>
        <v>18271.414000000001</v>
      </c>
      <c r="IB24" s="47">
        <v>1916.623</v>
      </c>
      <c r="IC24" s="47">
        <f>2091.03+1603.989+1580.495+2481.805+585.21+364.57+60.071+2844.066+53.857</f>
        <v>11665.092999999997</v>
      </c>
      <c r="ID24" s="47"/>
      <c r="IE24" s="47"/>
      <c r="IF24" s="47">
        <f>2372.2+2071.5</f>
        <v>4443.7</v>
      </c>
      <c r="IG24" s="47"/>
      <c r="IH24" s="47"/>
      <c r="II24" s="47">
        <f>109.087+50.804</f>
        <v>159.89100000000002</v>
      </c>
      <c r="IJ24" s="47">
        <v>4393.7929999999997</v>
      </c>
      <c r="IK24" s="47"/>
      <c r="IL24" s="47"/>
      <c r="IM24" s="47">
        <f>163.624+1617.818+2168.89</f>
        <v>3950.3319999999999</v>
      </c>
      <c r="IN24" s="47"/>
      <c r="IO24" s="47">
        <f>142.61+2570.05+133.6+8959</f>
        <v>11805.26</v>
      </c>
      <c r="IP24" s="14">
        <f>3941.34+845.55+6515.95+1193.195</f>
        <v>12496.035</v>
      </c>
      <c r="IQ24" s="47">
        <f>512.64</f>
        <v>512.64</v>
      </c>
      <c r="IR24" s="47">
        <f>879+2057.463+11125.825</f>
        <v>14062.288</v>
      </c>
      <c r="IS24" s="47"/>
      <c r="IT24" s="47"/>
      <c r="IU24" s="47"/>
      <c r="IV24" s="47"/>
      <c r="IW24" s="47"/>
      <c r="IX24" s="47">
        <v>7006.92</v>
      </c>
      <c r="IY24" s="47"/>
      <c r="IZ24" s="47">
        <f>612.425</f>
        <v>612.42499999999995</v>
      </c>
      <c r="JA24" s="47">
        <f>2627.88</f>
        <v>2627.88</v>
      </c>
      <c r="JB24" s="47"/>
      <c r="JC24" s="47"/>
      <c r="JD24" s="47">
        <f>8179.448+4382.622+607.492+4534.495</f>
        <v>17704.057000000001</v>
      </c>
      <c r="JE24" s="47">
        <f>5008.755+5646.75</f>
        <v>10655.505000000001</v>
      </c>
      <c r="JF24" s="47">
        <f>1284+66</f>
        <v>1350</v>
      </c>
      <c r="JG24" s="47"/>
      <c r="JH24" s="47">
        <f>4825.6</f>
        <v>4825.6000000000004</v>
      </c>
      <c r="JI24" s="47"/>
      <c r="JJ24" s="47"/>
      <c r="JK24" s="47"/>
      <c r="JL24" s="47">
        <f>1228.54+409.984+760.6</f>
        <v>2399.1239999999998</v>
      </c>
      <c r="JM24" s="47"/>
      <c r="JN24" s="47">
        <v>145596.77100000001</v>
      </c>
      <c r="JO24" s="47"/>
      <c r="JP24" s="47"/>
      <c r="JQ24" s="47">
        <f>10485.975+5240.62+3647.9+5342.174+1473.19+6282.895+158.85+5389+6337.245+1785.5+2347.128+5914.458+95.59+6214.84+3042.418</f>
        <v>63757.782999999989</v>
      </c>
      <c r="JR24" s="47"/>
      <c r="JS24" s="47"/>
      <c r="JT24" s="47">
        <f>25567.269+13210.404+5215.526+9138.032</f>
        <v>53131.231</v>
      </c>
      <c r="JU24" s="47"/>
      <c r="JV24" s="47">
        <v>2477.8000000000002</v>
      </c>
      <c r="JW24" s="47"/>
      <c r="JX24" s="63">
        <f>1419.1+7237.446+465.884+203.689</f>
        <v>9326.1190000000006</v>
      </c>
      <c r="JY24" s="47"/>
      <c r="JZ24" s="47"/>
      <c r="KA24" s="47"/>
      <c r="KB24" s="47">
        <v>8716.44</v>
      </c>
      <c r="KC24" s="47"/>
      <c r="KD24" s="47"/>
      <c r="KE24" s="47"/>
      <c r="KF24" s="47">
        <v>307.39999999999998</v>
      </c>
      <c r="KG24" s="47">
        <f>19123.493+11627.424+6026.668</f>
        <v>36777.584999999999</v>
      </c>
      <c r="KH24" s="47"/>
      <c r="KI24" s="47">
        <v>2084.6</v>
      </c>
      <c r="KJ24" s="47">
        <v>763.65499999999997</v>
      </c>
      <c r="KK24" s="47"/>
      <c r="KL24" s="47">
        <f>578.77+42.57</f>
        <v>621.34</v>
      </c>
      <c r="KM24" s="47">
        <v>1492.7</v>
      </c>
      <c r="KN24" s="47"/>
      <c r="KO24" s="47"/>
      <c r="KP24" s="47"/>
      <c r="KQ24" s="47">
        <v>6358.25</v>
      </c>
      <c r="KR24" s="47">
        <f>470+10030</f>
        <v>10500</v>
      </c>
      <c r="KS24" s="47"/>
      <c r="KT24" s="47"/>
      <c r="KU24" s="47"/>
      <c r="KV24" s="47"/>
      <c r="KW24" s="47">
        <f>209.59+323.262+37629.4+58795.243</f>
        <v>96957.494999999995</v>
      </c>
      <c r="KX24" s="47"/>
      <c r="KY24" s="47">
        <f>1494.7+634.9+1117.14+242.7+1972+127.8</f>
        <v>5589.24</v>
      </c>
      <c r="KZ24" s="47"/>
      <c r="LA24" s="47"/>
      <c r="LB24" s="47"/>
      <c r="LC24" s="47"/>
      <c r="LD24" s="47"/>
      <c r="LE24" s="47"/>
      <c r="LF24" s="47">
        <f>46625.093+26387.222+83049.637+122139.148+11827.088+22113.865+1059.149+14961.485+3297.139+8166.944+59889.903+74773.655+1643.04+111608+16129.036+13856.021+296312.405+74320.176+75364.448+73417.599</f>
        <v>1136941.0529999998</v>
      </c>
      <c r="LG24" s="47"/>
      <c r="LH24" s="47"/>
      <c r="LI24" s="47"/>
      <c r="LJ24" s="47"/>
      <c r="LK24" s="47"/>
      <c r="LL24" s="47"/>
      <c r="LM24" s="47">
        <f>1045.346+13.24</f>
        <v>1058.586</v>
      </c>
      <c r="LN24" s="47"/>
      <c r="LO24" s="47"/>
      <c r="LP24" s="47"/>
      <c r="LQ24" s="47"/>
      <c r="LR24" s="47">
        <f>177.956+99.803+712.885+8136.159+4948.266+2242.248</f>
        <v>16317.316999999999</v>
      </c>
      <c r="LS24" s="47"/>
      <c r="LT24" s="47"/>
      <c r="LU24" s="47">
        <f>833.35</f>
        <v>833.35</v>
      </c>
      <c r="LV24" s="47">
        <f>1816.645+1832.316+590.2+2498.63+4800.28</f>
        <v>11538.071</v>
      </c>
      <c r="LW24" s="47">
        <f>3370.4+3649+14048.244+14802.298+3194.772+1006.572</f>
        <v>40071.286</v>
      </c>
      <c r="LX24" s="47">
        <f>2529.671+822.028</f>
        <v>3351.6989999999996</v>
      </c>
      <c r="LY24" s="47">
        <f>7455.33</f>
        <v>7455.33</v>
      </c>
      <c r="LZ24" s="47"/>
      <c r="MA24" s="47"/>
      <c r="MB24" s="47">
        <f>30767.24+5114.43+1633.58</f>
        <v>37515.25</v>
      </c>
      <c r="MC24" s="47">
        <f>7271+451.2+1123+701.3</f>
        <v>9546.5</v>
      </c>
      <c r="MD24" s="47">
        <f>6526.997+11337.48</f>
        <v>17864.476999999999</v>
      </c>
      <c r="ME24" s="47">
        <f>823.5</f>
        <v>823.5</v>
      </c>
      <c r="MF24" s="47">
        <f>200.24</f>
        <v>200.24</v>
      </c>
      <c r="MG24" s="47">
        <f>2306.6</f>
        <v>2306.6</v>
      </c>
      <c r="MH24" s="47">
        <f>182.42</f>
        <v>182.42</v>
      </c>
      <c r="MI24" s="47">
        <f>7914.793+197.905+51119.234+26817.825+48.865+3238.849+7630.826+19112.557+5488.671</f>
        <v>121569.52500000001</v>
      </c>
      <c r="MJ24" s="47">
        <f>8.865</f>
        <v>8.8650000000000002</v>
      </c>
      <c r="MK24" s="47"/>
      <c r="ML24" s="47">
        <f>21352.762</f>
        <v>21352.761999999999</v>
      </c>
      <c r="MM24" s="47"/>
      <c r="MN24" s="47"/>
      <c r="MO24" s="47"/>
      <c r="MP24" s="47">
        <f>4974.293</f>
        <v>4974.2929999999997</v>
      </c>
      <c r="MQ24" s="47">
        <f>15097.8+2020.7+5918.1+9069.7+25920.9</f>
        <v>58027.199999999997</v>
      </c>
      <c r="MR24" s="47"/>
      <c r="MS24" s="47"/>
      <c r="MT24" s="47">
        <f>516.8</f>
        <v>516.79999999999995</v>
      </c>
      <c r="MU24" s="47">
        <f>2650.247</f>
        <v>2650.2469999999998</v>
      </c>
      <c r="MV24" s="47">
        <f>814.148+1371.196</f>
        <v>2185.3440000000001</v>
      </c>
      <c r="MW24" s="47"/>
      <c r="MX24" s="14"/>
      <c r="MY24" s="14"/>
      <c r="MZ24" s="2"/>
      <c r="NA24" s="2"/>
    </row>
    <row r="25" spans="1:365" ht="28.5" x14ac:dyDescent="0.2">
      <c r="A25" s="55" t="s">
        <v>40</v>
      </c>
      <c r="B25" s="55"/>
      <c r="C25" s="56">
        <f t="shared" si="11"/>
        <v>6335816.9899999993</v>
      </c>
      <c r="D25" s="47"/>
      <c r="E25" s="47">
        <v>315</v>
      </c>
      <c r="F25" s="47">
        <f>3060+1155</f>
        <v>4215</v>
      </c>
      <c r="G25" s="47"/>
      <c r="H25" s="47">
        <f>2384.74+3376+4961+1478.4+1065+1775</f>
        <v>15040.14</v>
      </c>
      <c r="I25" s="47">
        <v>2.9</v>
      </c>
      <c r="J25" s="47">
        <f>175+10326+1531.5+45190.5+52617+25672.5+625+48+12479+10948+3003+5655+2260.5+487+2727+1042.5+10357.5+16621.5+72574+33133.5+5510+820.8+7717.8+1298.4+1248.8+549+3081.6+5348+1126.2+444+2894.4</f>
        <v>337513</v>
      </c>
      <c r="K25" s="47"/>
      <c r="L25" s="47">
        <f>825+1200+3390+18+708+53</f>
        <v>6194</v>
      </c>
      <c r="M25" s="47">
        <f>58+715+2815</f>
        <v>3588</v>
      </c>
      <c r="N25" s="47"/>
      <c r="O25" s="47">
        <f>38280+6444+41555+59734+57685+3952+1068+30199+5005+4041+741.5+33094.12+1898.84+37274+30027</f>
        <v>350998.46</v>
      </c>
      <c r="P25" s="47">
        <f>375+7.4</f>
        <v>382.4</v>
      </c>
      <c r="Q25" s="47"/>
      <c r="R25" s="47">
        <f>1065+2520+225</f>
        <v>3810</v>
      </c>
      <c r="S25" s="47"/>
      <c r="T25" s="47">
        <f>2160+54304.5+5383.5+2114+3243+1867.5+2008.5+655.5+117+1866+20262+16419+3676.5+553.5+7166+5387+11995.5+6802.5+3313.5+376.5+10299+2196+15219+7983+1419+1858+10143</f>
        <v>198788.5</v>
      </c>
      <c r="U25" s="47"/>
      <c r="V25" s="47">
        <f>23370+456+15915+14215.5+16660.5+612+14283+79935+29460</f>
        <v>194907</v>
      </c>
      <c r="W25" s="47">
        <v>1003</v>
      </c>
      <c r="X25" s="47">
        <f>180+314</f>
        <v>494</v>
      </c>
      <c r="Y25" s="47">
        <f>11825+2016+164+1620+1557+105+340.5+510+6222+1560+7320+555+133.5+5805+360+1875+40110+1740+6780+7950+11460+1710+840+18780+555+960+315+45+22515+2280+139.5+705</f>
        <v>158852.5</v>
      </c>
      <c r="Z25" s="47">
        <f>645+75</f>
        <v>720</v>
      </c>
      <c r="AA25" s="47">
        <f>945+1110</f>
        <v>2055</v>
      </c>
      <c r="AB25" s="47">
        <f>3165+1365</f>
        <v>4530</v>
      </c>
      <c r="AC25" s="47"/>
      <c r="AD25" s="47"/>
      <c r="AE25" s="47">
        <f>12435+2235+2760</f>
        <v>17430</v>
      </c>
      <c r="AF25" s="47"/>
      <c r="AG25" s="47">
        <v>7225</v>
      </c>
      <c r="AH25" s="47"/>
      <c r="AI25" s="47">
        <v>435</v>
      </c>
      <c r="AJ25" s="47">
        <v>155</v>
      </c>
      <c r="AK25" s="47">
        <v>825</v>
      </c>
      <c r="AL25" s="47"/>
      <c r="AM25" s="47"/>
      <c r="AN25" s="47">
        <v>495</v>
      </c>
      <c r="AO25" s="47"/>
      <c r="AP25" s="47"/>
      <c r="AQ25" s="47">
        <f>300+255</f>
        <v>555</v>
      </c>
      <c r="AR25" s="47">
        <f>7.5+7.2+152.4</f>
        <v>167.1</v>
      </c>
      <c r="AS25" s="47">
        <f>21000+615+375+5175+31095+3720+1185+6345+3762+7462.5</f>
        <v>80734.5</v>
      </c>
      <c r="AT25" s="47"/>
      <c r="AU25" s="47">
        <f>135+5+9740</f>
        <v>9880</v>
      </c>
      <c r="AV25" s="47">
        <v>7407</v>
      </c>
      <c r="AW25" s="47"/>
      <c r="AX25" s="47">
        <f>17205+18315+4260+1305+15+29265+3960+11760+9360+1330.5+8397.21+745+307.5+945.6</f>
        <v>107170.81</v>
      </c>
      <c r="AY25" s="47">
        <f>125.15+1283.8+2450+1009.85+82204.5+1215+122+394+59507+18708+48272.79+189+65800+13871+1563+46480+13613+70224+7233+33753+338+199+1492+7723.62+7485+5130+4417+2623+16836.03+6994.84+1399.46+12856+3886+18031+22444+332+6418+3738+67016+18944+9159+38473+31565+301+114485+12556+34303+30157+3239+1860+429+13714.62+41707.73+19579+28227.22+4686.33+1206+2893+15128.81+2615+6196.8+5049.3+3513+2044.4+31.4+1534.2+224.8+750.56+92.68+3929.4+1316.44+2828.4+1661.74+308.26</f>
        <v>1112087.1299999999</v>
      </c>
      <c r="AZ25" s="47"/>
      <c r="BA25" s="47">
        <f>8115+21.8+342.9+273.6</f>
        <v>8753.3000000000011</v>
      </c>
      <c r="BB25" s="47"/>
      <c r="BC25" s="47"/>
      <c r="BD25" s="47"/>
      <c r="BE25" s="47"/>
      <c r="BF25" s="47">
        <v>50</v>
      </c>
      <c r="BG25" s="47">
        <f>1515+555+1395+855+1950+1110+1429.5+8742+276</f>
        <v>17827.5</v>
      </c>
      <c r="BH25" s="47">
        <v>3780</v>
      </c>
      <c r="BI25" s="47"/>
      <c r="BJ25" s="47"/>
      <c r="BK25" s="47"/>
      <c r="BL25" s="47">
        <v>7710</v>
      </c>
      <c r="BM25" s="47">
        <v>885</v>
      </c>
      <c r="BN25" s="47"/>
      <c r="BO25" s="47"/>
      <c r="BP25" s="47"/>
      <c r="BQ25" s="47">
        <f>2040+1545</f>
        <v>3585</v>
      </c>
      <c r="BR25" s="47"/>
      <c r="BS25" s="47"/>
      <c r="BT25" s="47">
        <v>81</v>
      </c>
      <c r="BU25" s="47">
        <v>750</v>
      </c>
      <c r="BV25" s="47">
        <f>10335+12615</f>
        <v>22950</v>
      </c>
      <c r="BW25" s="47"/>
      <c r="BX25" s="47"/>
      <c r="BY25" s="47"/>
      <c r="BZ25" s="47">
        <v>135</v>
      </c>
      <c r="CA25" s="47">
        <f>2160+9200+5891+574+259.8</f>
        <v>18084.8</v>
      </c>
      <c r="CB25" s="47">
        <v>1770</v>
      </c>
      <c r="CC25" s="47"/>
      <c r="CD25" s="47">
        <f>125+43+20</f>
        <v>188</v>
      </c>
      <c r="CE25" s="47"/>
      <c r="CF25" s="47"/>
      <c r="CG25" s="47">
        <v>1635</v>
      </c>
      <c r="CH25" s="47">
        <v>1299</v>
      </c>
      <c r="CI25" s="47">
        <f>1275+5610+2595+4080+4845</f>
        <v>18405</v>
      </c>
      <c r="CJ25" s="47">
        <f>65+300+102+84+211.5+123+82.5+1035+5565+36+810+390+885+375+1380+555+1380+555+1215+1815+735+5850+9315+450+2520+52650+2130+480+532.5+510+199.5+178.5+1545+754.5+15729+21304.5+256.5+607.5+262.5+1596+672+4144.5+681+504+36304.5+303+3612</f>
        <v>180791</v>
      </c>
      <c r="CK25" s="47"/>
      <c r="CL25" s="47">
        <f>1560+480+3330</f>
        <v>5370</v>
      </c>
      <c r="CM25" s="47">
        <f>455+95+665+350+150+3180+1365+1980+6615+7220+4360+175+2300+115+5421.5+63+9460.5+23877+6030+18348+6426+59+22857+21623+7799+4305+479+932+33</f>
        <v>156738</v>
      </c>
      <c r="CN25" s="47"/>
      <c r="CO25" s="47">
        <f>5250+1196</f>
        <v>6446</v>
      </c>
      <c r="CP25" s="47">
        <f>6981+517.5+8775+6855</f>
        <v>23128.5</v>
      </c>
      <c r="CQ25" s="47">
        <v>195</v>
      </c>
      <c r="CR25" s="47">
        <v>450</v>
      </c>
      <c r="CS25" s="47">
        <f>285+5000</f>
        <v>5285</v>
      </c>
      <c r="CT25" s="47"/>
      <c r="CU25" s="47"/>
      <c r="CV25" s="47"/>
      <c r="CW25" s="47">
        <f>810+101.1</f>
        <v>911.1</v>
      </c>
      <c r="CX25" s="47"/>
      <c r="CY25" s="47">
        <f>390+1755</f>
        <v>2145</v>
      </c>
      <c r="CZ25" s="47">
        <v>1700</v>
      </c>
      <c r="DA25" s="47">
        <v>665</v>
      </c>
      <c r="DB25" s="47">
        <f>11625+2109</f>
        <v>13734</v>
      </c>
      <c r="DC25" s="47"/>
      <c r="DD25" s="47">
        <f>1257+1033.5</f>
        <v>2290.5</v>
      </c>
      <c r="DE25" s="47">
        <f>375+7590</f>
        <v>7965</v>
      </c>
      <c r="DF25" s="47"/>
      <c r="DG25" s="47"/>
      <c r="DH25" s="47">
        <v>720</v>
      </c>
      <c r="DI25" s="47"/>
      <c r="DJ25" s="47"/>
      <c r="DK25" s="47"/>
      <c r="DL25" s="47">
        <f>167+143+78+40</f>
        <v>428</v>
      </c>
      <c r="DM25" s="47"/>
      <c r="DN25" s="47">
        <f>3915</f>
        <v>3915</v>
      </c>
      <c r="DO25" s="47"/>
      <c r="DP25" s="47">
        <f>718.52</f>
        <v>718.52</v>
      </c>
      <c r="DQ25" s="47">
        <f>1260+1635</f>
        <v>2895</v>
      </c>
      <c r="DR25" s="47"/>
      <c r="DS25" s="47">
        <f>135</f>
        <v>135</v>
      </c>
      <c r="DT25" s="47">
        <f>5625</f>
        <v>5625</v>
      </c>
      <c r="DU25" s="47">
        <f>1005</f>
        <v>1005</v>
      </c>
      <c r="DV25" s="47"/>
      <c r="DW25" s="47"/>
      <c r="DX25" s="47"/>
      <c r="DY25" s="47"/>
      <c r="DZ25" s="47"/>
      <c r="EA25" s="47">
        <f>405+1725</f>
        <v>2130</v>
      </c>
      <c r="EB25" s="47"/>
      <c r="EC25" s="47">
        <f>540</f>
        <v>540</v>
      </c>
      <c r="ED25" s="47">
        <f>125</f>
        <v>125</v>
      </c>
      <c r="EE25" s="47"/>
      <c r="EF25" s="47">
        <f>390</f>
        <v>390</v>
      </c>
      <c r="EG25" s="47"/>
      <c r="EH25" s="47">
        <f>145</f>
        <v>145</v>
      </c>
      <c r="EI25" s="47"/>
      <c r="EJ25" s="62">
        <f>1115</f>
        <v>1115</v>
      </c>
      <c r="EK25" s="47">
        <f>405+3780</f>
        <v>4185</v>
      </c>
      <c r="EL25" s="47"/>
      <c r="EM25" s="47"/>
      <c r="EN25" s="47">
        <f>634+2593.6+570</f>
        <v>3797.6</v>
      </c>
      <c r="EO25" s="47">
        <f>65</f>
        <v>65</v>
      </c>
      <c r="EP25" s="47"/>
      <c r="EQ25" s="47"/>
      <c r="ER25" s="47"/>
      <c r="ES25" s="47"/>
      <c r="ET25" s="47"/>
      <c r="EU25" s="47"/>
      <c r="EV25" s="47">
        <f>5115</f>
        <v>5115</v>
      </c>
      <c r="EW25" s="47">
        <f>4212+3444+14940</f>
        <v>22596</v>
      </c>
      <c r="EX25" s="47"/>
      <c r="EY25" s="47"/>
      <c r="EZ25" s="47"/>
      <c r="FA25" s="47">
        <f>810+210+6120+4650</f>
        <v>11790</v>
      </c>
      <c r="FB25" s="47">
        <f>585+3150</f>
        <v>3735</v>
      </c>
      <c r="FC25" s="47">
        <f>84+1515+1875+12240+7695</f>
        <v>23409</v>
      </c>
      <c r="FD25" s="47">
        <f>211</f>
        <v>211</v>
      </c>
      <c r="FE25" s="47"/>
      <c r="FF25" s="47"/>
      <c r="FG25" s="47">
        <f>5895</f>
        <v>5895</v>
      </c>
      <c r="FH25" s="47">
        <f>3525+1868+791.26</f>
        <v>6184.26</v>
      </c>
      <c r="FI25" s="47"/>
      <c r="FJ25" s="47"/>
      <c r="FK25" s="47">
        <f>975+585+795+780</f>
        <v>3135</v>
      </c>
      <c r="FL25" s="47">
        <f>3870+255.6</f>
        <v>4125.6000000000004</v>
      </c>
      <c r="FM25" s="47">
        <f>520.5+1330</f>
        <v>1850.5</v>
      </c>
      <c r="FN25" s="47"/>
      <c r="FO25" s="47">
        <f>4290</f>
        <v>4290</v>
      </c>
      <c r="FP25" s="47">
        <f>21.6+145</f>
        <v>166.6</v>
      </c>
      <c r="FQ25" s="47"/>
      <c r="FR25" s="47">
        <f>300.6</f>
        <v>300.60000000000002</v>
      </c>
      <c r="FS25" s="47"/>
      <c r="FT25" s="47"/>
      <c r="FU25" s="47"/>
      <c r="FV25" s="47"/>
      <c r="FW25" s="47">
        <f>1410+1245+1425</f>
        <v>4080</v>
      </c>
      <c r="FX25" s="47"/>
      <c r="FY25" s="47"/>
      <c r="FZ25" s="47">
        <f>495</f>
        <v>495</v>
      </c>
      <c r="GA25" s="47">
        <f>1185.2+1834.7+6424.33+2252.81+680+3334.56+4173.84+9297+5063+15877+9615+4228+8968+7362+9493+7170+6955+212+10907.13+4123.09+7537.84+229+3+2506+1205.94+172.46+260.6+2911.14+2724.46+353.4+11872.08+278.1+7235.29+1604.96+3390.83+1484.33+2607.58+8003.47+1586.69+1938.48+3801.4+907.96+3286.84+1630+2318.4+816.67+1080.88+9963.64+2326.54+1547.56+1886.45+351.57+188.96+9218+1343+3506+3226+33051+11862+3539+2212+1544+1040+10815+206+11182+6562+4886+3716+336+872.6+7250+253.42+12130.31+5319.57+2993.14+418.83+4504.74+1741.67+4600.5+4449.41+4513.49+2366.4+91.2+7588+3628.6+1994.8+2625.6+6067.8+13648.6+4092.4+4715.8+23.6+1098.8+308.8+1390.6+524.8+288.8+1298+810.6+622.6+867.6+2686+2119+4494+10329.6+315.2+514.49+14.11+500.36+703.24</f>
        <v>440189.25999999966</v>
      </c>
      <c r="GB25" s="47">
        <v>74307</v>
      </c>
      <c r="GC25" s="47"/>
      <c r="GD25" s="47"/>
      <c r="GE25" s="47">
        <f>4710+18647</f>
        <v>23357</v>
      </c>
      <c r="GF25" s="47">
        <v>645</v>
      </c>
      <c r="GG25" s="47">
        <f>2295+3015</f>
        <v>5310</v>
      </c>
      <c r="GH25" s="47">
        <f>6015+1080</f>
        <v>7095</v>
      </c>
      <c r="GI25" s="47">
        <f>1860+675+4659+1268+7687</f>
        <v>16149</v>
      </c>
      <c r="GJ25" s="47"/>
      <c r="GK25" s="47">
        <v>3825</v>
      </c>
      <c r="GL25" s="47">
        <v>2925</v>
      </c>
      <c r="GM25" s="47"/>
      <c r="GN25" s="47">
        <v>5700</v>
      </c>
      <c r="GO25" s="47">
        <f>4080.6+22213.2+6125.98+713.7+1072+834+688+24104+2318.8+4128.6+8780+5698+2842+2624.8+780.2+7707.4+1069.4+7676.2+4505.6+1152.2+1303.8+5145.2+13386+13088.2+2592.8+2368.4+3808.8+2434.2</f>
        <v>153242.07999999999</v>
      </c>
      <c r="GP25" s="47">
        <f>2295+7440+19920</f>
        <v>29655</v>
      </c>
      <c r="GQ25" s="47">
        <f>6120+8490+570+1335+155+9350+163+3951+2785+771</f>
        <v>33690</v>
      </c>
      <c r="GR25" s="48">
        <f>5035+46965+5789+57+25308+9631+8584</f>
        <v>101369</v>
      </c>
      <c r="GS25" s="47">
        <f>7055.25+1770+705+1497+2533.5+739.5+2019.8</f>
        <v>16320.05</v>
      </c>
      <c r="GT25" s="47"/>
      <c r="GU25" s="47"/>
      <c r="GV25" s="47">
        <f>5034+13563</f>
        <v>18597</v>
      </c>
      <c r="GW25" s="47"/>
      <c r="GX25" s="47"/>
      <c r="GY25" s="47"/>
      <c r="GZ25" s="47">
        <f>675+1243</f>
        <v>1918</v>
      </c>
      <c r="HA25" s="47"/>
      <c r="HB25" s="47"/>
      <c r="HC25" s="47">
        <v>4575</v>
      </c>
      <c r="HD25" s="47"/>
      <c r="HE25" s="47">
        <v>2467.8000000000002</v>
      </c>
      <c r="HF25" s="47"/>
      <c r="HG25" s="47">
        <v>41.4</v>
      </c>
      <c r="HH25" s="47"/>
      <c r="HI25" s="47">
        <v>125</v>
      </c>
      <c r="HJ25" s="47">
        <f>20700+17310+4650+4425</f>
        <v>47085</v>
      </c>
      <c r="HK25" s="47"/>
      <c r="HL25" s="47">
        <v>3045</v>
      </c>
      <c r="HM25" s="47">
        <v>999</v>
      </c>
      <c r="HN25" s="47">
        <f>1116+107706</f>
        <v>108822</v>
      </c>
      <c r="HO25" s="47"/>
      <c r="HP25" s="47">
        <f>2835</f>
        <v>2835</v>
      </c>
      <c r="HQ25" s="47">
        <v>435</v>
      </c>
      <c r="HR25" s="47"/>
      <c r="HS25" s="47"/>
      <c r="HT25" s="47"/>
      <c r="HU25" s="47"/>
      <c r="HV25" s="47"/>
      <c r="HW25" s="47">
        <f>1590+559.5+1441.5</f>
        <v>3591</v>
      </c>
      <c r="HX25" s="47"/>
      <c r="HY25" s="47">
        <f>5025.6+483.8+665+3815.8+1469.4</f>
        <v>11459.6</v>
      </c>
      <c r="HZ25" s="47"/>
      <c r="IA25" s="47"/>
      <c r="IB25" s="47"/>
      <c r="IC25" s="47">
        <f>160+47</f>
        <v>207</v>
      </c>
      <c r="ID25" s="47">
        <v>2850</v>
      </c>
      <c r="IE25" s="47"/>
      <c r="IF25" s="47"/>
      <c r="IG25" s="47"/>
      <c r="IH25" s="47"/>
      <c r="II25" s="47">
        <f>3298+1623+13504+18489+1638+1561.2+31.44</f>
        <v>40144.639999999999</v>
      </c>
      <c r="IJ25" s="47"/>
      <c r="IK25" s="47">
        <f>1675</f>
        <v>1675</v>
      </c>
      <c r="IL25" s="47">
        <f>750+7815</f>
        <v>8565</v>
      </c>
      <c r="IM25" s="47"/>
      <c r="IN25" s="47"/>
      <c r="IO25" s="47">
        <f>854.1+201.6+120</f>
        <v>1175.7</v>
      </c>
      <c r="IP25" s="47"/>
      <c r="IQ25" s="47"/>
      <c r="IR25" s="47"/>
      <c r="IS25" s="47">
        <f>3975+450</f>
        <v>4425</v>
      </c>
      <c r="IT25" s="47"/>
      <c r="IU25" s="48">
        <f>243</f>
        <v>243</v>
      </c>
      <c r="IV25" s="48">
        <f>2670+4710</f>
        <v>7380</v>
      </c>
      <c r="IW25" s="47">
        <f>615</f>
        <v>615</v>
      </c>
      <c r="IX25" s="47">
        <f>615+654.7</f>
        <v>1269.7</v>
      </c>
      <c r="IY25" s="47"/>
      <c r="IZ25" s="47"/>
      <c r="JA25" s="47"/>
      <c r="JB25" s="47"/>
      <c r="JC25" s="47">
        <f>3120</f>
        <v>3120</v>
      </c>
      <c r="JD25" s="47">
        <f>31208.97</f>
        <v>31208.97</v>
      </c>
      <c r="JE25" s="47"/>
      <c r="JF25" s="47"/>
      <c r="JG25" s="47"/>
      <c r="JH25" s="47"/>
      <c r="JI25" s="47"/>
      <c r="JJ25" s="47"/>
      <c r="JK25" s="47"/>
      <c r="JL25" s="47">
        <v>3648</v>
      </c>
      <c r="JM25" s="47"/>
      <c r="JN25" s="47">
        <v>8287.5</v>
      </c>
      <c r="JO25" s="47">
        <f>1320+1650+1952+1008</f>
        <v>5930</v>
      </c>
      <c r="JP25" s="47"/>
      <c r="JQ25" s="47">
        <v>2868</v>
      </c>
      <c r="JR25" s="47">
        <v>1185</v>
      </c>
      <c r="JS25" s="47"/>
      <c r="JT25" s="47">
        <f>201.47+3692.54+1047+2163+6227+13632+4240+1819</f>
        <v>33022.01</v>
      </c>
      <c r="JU25" s="47">
        <f>9908+6007+304</f>
        <v>16219</v>
      </c>
      <c r="JV25" s="47"/>
      <c r="JW25" s="47">
        <f>366+2490+375+375+600+690+23+1536+1446+1591+690+613</f>
        <v>10795</v>
      </c>
      <c r="JX25" s="47"/>
      <c r="JY25" s="47">
        <v>555</v>
      </c>
      <c r="JZ25" s="47"/>
      <c r="KA25" s="47">
        <f>5310+490</f>
        <v>5800</v>
      </c>
      <c r="KB25" s="47"/>
      <c r="KC25" s="47">
        <f>495+6887</f>
        <v>7382</v>
      </c>
      <c r="KD25" s="47">
        <f>390+37</f>
        <v>427</v>
      </c>
      <c r="KE25" s="47">
        <f>2435.1+750.6</f>
        <v>3185.7</v>
      </c>
      <c r="KF25" s="47">
        <v>1440</v>
      </c>
      <c r="KG25" s="47"/>
      <c r="KH25" s="47"/>
      <c r="KI25" s="47">
        <v>792</v>
      </c>
      <c r="KJ25" s="47"/>
      <c r="KK25" s="47">
        <f>750+750+1776+1587+2070</f>
        <v>6933</v>
      </c>
      <c r="KL25" s="47"/>
      <c r="KM25" s="47"/>
      <c r="KN25" s="47">
        <f>160+690+375+915+5640+505.4</f>
        <v>8285.4</v>
      </c>
      <c r="KO25" s="47">
        <f>1185+3109</f>
        <v>4294</v>
      </c>
      <c r="KP25" s="47">
        <f>735+615+29781+8670</f>
        <v>39801</v>
      </c>
      <c r="KQ25" s="47"/>
      <c r="KR25" s="47">
        <v>900</v>
      </c>
      <c r="KS25" s="47">
        <v>2400</v>
      </c>
      <c r="KT25" s="47">
        <v>2310</v>
      </c>
      <c r="KU25" s="47">
        <v>1290</v>
      </c>
      <c r="KV25" s="47"/>
      <c r="KW25" s="47">
        <f>200+270+1040+8770+2430+195+276+2999+520+213147+3477+2112</f>
        <v>235436</v>
      </c>
      <c r="KX25" s="47">
        <f>1415+2288+3546+34</f>
        <v>7283</v>
      </c>
      <c r="KY25" s="47">
        <f>1911.5+1160.2+1562.6+34+3546+2288</f>
        <v>10502.3</v>
      </c>
      <c r="KZ25" s="47"/>
      <c r="LA25" s="47"/>
      <c r="LB25" s="47">
        <f>945+961+392</f>
        <v>2298</v>
      </c>
      <c r="LC25" s="47">
        <v>390</v>
      </c>
      <c r="LD25" s="47"/>
      <c r="LE25" s="47"/>
      <c r="LF25" s="47">
        <f>52760.1+46540+103883.46+21370.5+61854+77825+9063+6412.5+26754+7390.5+522+99289.5+28395+9370.5+183075+116883+146761.5+54802.5+1846.5+34914+2626+2063.4+618.2</f>
        <v>1095020.1599999999</v>
      </c>
      <c r="LG25" s="47">
        <f>48.8+1001.1+1828.6+9000+6240+27300+259+133.5+5400+2325+5145+318+421.5+1144.5+820.5+261+63+4243.5+1534+1103+1669+89+42+2832+326+4383+2065+139+1545+1257+4195+4415+22095+5404+800+336+1934.1+618.8</f>
        <v>122734.90000000001</v>
      </c>
      <c r="LH25" s="47">
        <f>11910+5175+26340+1860</f>
        <v>45285</v>
      </c>
      <c r="LI25" s="47"/>
      <c r="LJ25" s="47"/>
      <c r="LK25" s="47">
        <f>1710.15+1147.35</f>
        <v>2857.5</v>
      </c>
      <c r="LL25" s="47">
        <v>900</v>
      </c>
      <c r="LM25" s="47"/>
      <c r="LN25" s="47">
        <f>222+145.5+171</f>
        <v>538.5</v>
      </c>
      <c r="LO25" s="47">
        <v>885</v>
      </c>
      <c r="LP25" s="47">
        <v>555</v>
      </c>
      <c r="LQ25" s="47">
        <f>1140+1935</f>
        <v>3075</v>
      </c>
      <c r="LR25" s="47"/>
      <c r="LS25" s="47"/>
      <c r="LT25" s="47"/>
      <c r="LU25" s="47">
        <f>451</f>
        <v>451</v>
      </c>
      <c r="LV25" s="47">
        <f>180</f>
        <v>180</v>
      </c>
      <c r="LW25" s="47"/>
      <c r="LX25" s="47">
        <f>3953+125</f>
        <v>4078</v>
      </c>
      <c r="LY25" s="47">
        <f>2274</f>
        <v>2274</v>
      </c>
      <c r="LZ25" s="47">
        <f>654+251.6+206.8+513.4</f>
        <v>1625.8000000000002</v>
      </c>
      <c r="MA25" s="47">
        <f>2310</f>
        <v>2310</v>
      </c>
      <c r="MB25" s="47"/>
      <c r="MC25" s="47">
        <f>20.6+7.9</f>
        <v>28.5</v>
      </c>
      <c r="MD25" s="47">
        <f>5775</f>
        <v>5775</v>
      </c>
      <c r="ME25" s="47"/>
      <c r="MF25" s="47"/>
      <c r="MG25" s="47"/>
      <c r="MH25" s="47"/>
      <c r="MI25" s="47">
        <f>24022.5+5482.5+7258.7+3049.8</f>
        <v>39813.5</v>
      </c>
      <c r="MJ25" s="47"/>
      <c r="MK25" s="47">
        <f>4485+4144.5+5286+4746+94.5+11257.5+5122.5+21166.5+1017+929+12033+1031+7254+230+127+475</f>
        <v>79398.5</v>
      </c>
      <c r="ML25" s="47"/>
      <c r="MM25" s="47"/>
      <c r="MN25" s="47">
        <f>150</f>
        <v>150</v>
      </c>
      <c r="MO25" s="47"/>
      <c r="MP25" s="47"/>
      <c r="MQ25" s="47">
        <f>3810+197.7+30</f>
        <v>4037.7</v>
      </c>
      <c r="MR25" s="47">
        <f>5220</f>
        <v>5220</v>
      </c>
      <c r="MS25" s="47">
        <f>217+885+2175</f>
        <v>3277</v>
      </c>
      <c r="MT25" s="47">
        <f>17+27</f>
        <v>44</v>
      </c>
      <c r="MU25" s="47"/>
      <c r="MV25" s="47"/>
      <c r="MW25" s="47"/>
      <c r="MX25" s="14"/>
      <c r="MY25" s="14"/>
      <c r="MZ25" s="2"/>
      <c r="NA25" s="2"/>
    </row>
    <row r="26" spans="1:365" ht="13.5" customHeight="1" x14ac:dyDescent="0.2">
      <c r="A26" s="55" t="s">
        <v>23</v>
      </c>
      <c r="B26" s="55"/>
      <c r="C26" s="56">
        <f t="shared" si="11"/>
        <v>3790885.6</v>
      </c>
      <c r="D26" s="47"/>
      <c r="E26" s="47"/>
      <c r="F26" s="47"/>
      <c r="G26" s="47"/>
      <c r="H26" s="47"/>
      <c r="I26" s="47"/>
      <c r="J26" s="47">
        <f>3916.9+10048.4</f>
        <v>13965.3</v>
      </c>
      <c r="K26" s="47">
        <v>8289.5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>
        <v>14357.1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>
        <v>2916.1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>
        <v>3201.9</v>
      </c>
      <c r="BJ26" s="47">
        <f>1244.7+11.5</f>
        <v>1256.2</v>
      </c>
      <c r="BK26" s="47"/>
      <c r="BL26" s="47"/>
      <c r="BM26" s="47">
        <v>14475.3</v>
      </c>
      <c r="BN26" s="47"/>
      <c r="BO26" s="47"/>
      <c r="BP26" s="47"/>
      <c r="BQ26" s="47"/>
      <c r="BR26" s="47">
        <v>3693.1</v>
      </c>
      <c r="BS26" s="47"/>
      <c r="BT26" s="47"/>
      <c r="BU26" s="47"/>
      <c r="BV26" s="47"/>
      <c r="BW26" s="47"/>
      <c r="BX26" s="47"/>
      <c r="BY26" s="47"/>
      <c r="BZ26" s="47"/>
      <c r="CA26" s="47">
        <v>1701701</v>
      </c>
      <c r="CB26" s="47"/>
      <c r="CC26" s="47">
        <v>14550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>
        <v>4747.8999999999996</v>
      </c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>
        <f>28407.9+28549.2</f>
        <v>56957.100000000006</v>
      </c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>
        <f>55807.8+50249.4+49794.3+50542.9</f>
        <v>206394.4</v>
      </c>
      <c r="EX26" s="47"/>
      <c r="EY26" s="64">
        <f>8772.6+1634.4</f>
        <v>10407</v>
      </c>
      <c r="EZ26" s="47">
        <v>4809.2</v>
      </c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>
        <f>19246.7+22063.1+7136.4+174164.4+220610.1</f>
        <v>443220.7</v>
      </c>
      <c r="FN26" s="47"/>
      <c r="FO26" s="47"/>
      <c r="FP26" s="47"/>
      <c r="FQ26" s="47"/>
      <c r="FR26" s="47">
        <v>1072864.8</v>
      </c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>
        <v>98271.2</v>
      </c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>
        <v>11465.7</v>
      </c>
      <c r="IT26" s="47"/>
      <c r="IU26" s="47"/>
      <c r="IV26" s="47"/>
      <c r="IW26" s="47"/>
      <c r="IX26" s="47"/>
      <c r="IY26" s="47"/>
      <c r="IZ26" s="47"/>
      <c r="JA26" s="47">
        <v>8772.6</v>
      </c>
      <c r="JB26" s="47"/>
      <c r="JC26" s="47"/>
      <c r="JD26" s="47"/>
      <c r="JE26" s="47"/>
      <c r="JF26" s="47"/>
      <c r="JG26" s="47">
        <v>1663</v>
      </c>
      <c r="JH26" s="47"/>
      <c r="JI26" s="47"/>
      <c r="JJ26" s="47"/>
      <c r="JK26" s="47"/>
      <c r="JL26" s="47"/>
      <c r="JM26" s="47"/>
      <c r="JN26" s="47"/>
      <c r="JO26" s="47">
        <v>36606.300000000003</v>
      </c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>
        <v>8007.2</v>
      </c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>
        <v>19765.3</v>
      </c>
      <c r="LO26" s="47"/>
      <c r="LP26" s="47"/>
      <c r="LQ26" s="47"/>
      <c r="LR26" s="47">
        <v>28527.7</v>
      </c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14"/>
      <c r="MY26" s="14"/>
      <c r="MZ26" s="2"/>
      <c r="NA26" s="2"/>
    </row>
    <row r="27" spans="1:365" ht="14.25" x14ac:dyDescent="0.2">
      <c r="A27" s="60" t="s">
        <v>1</v>
      </c>
      <c r="B27" s="60"/>
      <c r="C27" s="56">
        <f t="shared" si="11"/>
        <v>677815.6</v>
      </c>
      <c r="D27" s="47"/>
      <c r="E27" s="47"/>
      <c r="F27" s="47"/>
      <c r="G27" s="47"/>
      <c r="H27" s="47"/>
      <c r="I27" s="47"/>
      <c r="J27" s="47">
        <f>560+225</f>
        <v>785</v>
      </c>
      <c r="K27" s="47"/>
      <c r="L27" s="47"/>
      <c r="M27" s="47"/>
      <c r="N27" s="47">
        <v>2294</v>
      </c>
      <c r="O27" s="47"/>
      <c r="P27" s="47">
        <v>620</v>
      </c>
      <c r="Q27" s="47"/>
      <c r="R27" s="47">
        <v>1056</v>
      </c>
      <c r="S27" s="47"/>
      <c r="T27" s="47"/>
      <c r="U27" s="47"/>
      <c r="V27" s="47">
        <v>248821.5</v>
      </c>
      <c r="W27" s="47"/>
      <c r="X27" s="47"/>
      <c r="Y27" s="47">
        <v>416</v>
      </c>
      <c r="Z27" s="47"/>
      <c r="AA27" s="47"/>
      <c r="AB27" s="47"/>
      <c r="AC27" s="47">
        <v>28.8</v>
      </c>
      <c r="AD27" s="47"/>
      <c r="AE27" s="47">
        <v>5775</v>
      </c>
      <c r="AF27" s="47"/>
      <c r="AG27" s="47"/>
      <c r="AH27" s="47"/>
      <c r="AI27" s="47"/>
      <c r="AJ27" s="47"/>
      <c r="AK27" s="47"/>
      <c r="AL27" s="47"/>
      <c r="AM27" s="47">
        <v>50</v>
      </c>
      <c r="AN27" s="47"/>
      <c r="AO27" s="47">
        <v>295.60000000000002</v>
      </c>
      <c r="AP27" s="47">
        <v>62.2</v>
      </c>
      <c r="AQ27" s="47">
        <v>320</v>
      </c>
      <c r="AR27" s="47">
        <v>22754.6</v>
      </c>
      <c r="AS27" s="47"/>
      <c r="AT27" s="47"/>
      <c r="AU27" s="47"/>
      <c r="AV27" s="47"/>
      <c r="AW27" s="47">
        <v>329.4</v>
      </c>
      <c r="AX27" s="47">
        <v>3088.1</v>
      </c>
      <c r="AY27" s="47">
        <v>4470.3</v>
      </c>
      <c r="AZ27" s="47">
        <v>1013.2</v>
      </c>
      <c r="BA27" s="47"/>
      <c r="BB27" s="47"/>
      <c r="BC27" s="47"/>
      <c r="BD27" s="47"/>
      <c r="BE27" s="47"/>
      <c r="BF27" s="47"/>
      <c r="BG27" s="47"/>
      <c r="BH27" s="47">
        <v>4146.2</v>
      </c>
      <c r="BI27" s="47"/>
      <c r="BJ27" s="47">
        <v>6454.4</v>
      </c>
      <c r="BK27" s="47">
        <v>443.6</v>
      </c>
      <c r="BL27" s="47"/>
      <c r="BM27" s="47"/>
      <c r="BN27" s="47"/>
      <c r="BO27" s="47"/>
      <c r="BP27" s="47"/>
      <c r="BQ27" s="47"/>
      <c r="BR27" s="47"/>
      <c r="BS27" s="47">
        <v>1049.5</v>
      </c>
      <c r="BT27" s="47"/>
      <c r="BU27" s="47"/>
      <c r="BV27" s="47"/>
      <c r="BW27" s="47"/>
      <c r="BX27" s="47"/>
      <c r="BY27" s="47"/>
      <c r="BZ27" s="47"/>
      <c r="CA27" s="47"/>
      <c r="CB27" s="47">
        <v>1888</v>
      </c>
      <c r="CC27" s="47">
        <v>1488</v>
      </c>
      <c r="CD27" s="47"/>
      <c r="CE27" s="47"/>
      <c r="CF27" s="47"/>
      <c r="CG27" s="47">
        <v>828.9</v>
      </c>
      <c r="CH27" s="47"/>
      <c r="CI27" s="47"/>
      <c r="CJ27" s="47">
        <f>2944+360.1</f>
        <v>3304.1</v>
      </c>
      <c r="CK27" s="47"/>
      <c r="CL27" s="47"/>
      <c r="CM27" s="47">
        <f>9485.3+4261.7</f>
        <v>13747</v>
      </c>
      <c r="CN27" s="47"/>
      <c r="CO27" s="47"/>
      <c r="CP27" s="47"/>
      <c r="CQ27" s="47"/>
      <c r="CR27" s="47"/>
      <c r="CS27" s="47"/>
      <c r="CT27" s="47"/>
      <c r="CU27" s="47">
        <v>720</v>
      </c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>
        <v>312.8</v>
      </c>
      <c r="DN27" s="47">
        <v>1305</v>
      </c>
      <c r="DO27" s="47"/>
      <c r="DP27" s="47">
        <v>608</v>
      </c>
      <c r="DQ27" s="47"/>
      <c r="DR27" s="47">
        <v>1588.2</v>
      </c>
      <c r="DS27" s="47">
        <v>782.8</v>
      </c>
      <c r="DT27" s="47"/>
      <c r="DU27" s="47">
        <v>248.4</v>
      </c>
      <c r="DV27" s="47"/>
      <c r="DW27" s="47">
        <v>700</v>
      </c>
      <c r="DX27" s="47"/>
      <c r="DY27" s="47"/>
      <c r="DZ27" s="47"/>
      <c r="EA27" s="47"/>
      <c r="EB27" s="47"/>
      <c r="EC27" s="47">
        <v>576</v>
      </c>
      <c r="ED27" s="47"/>
      <c r="EE27" s="47"/>
      <c r="EF27" s="47"/>
      <c r="EG27" s="47"/>
      <c r="EH27" s="47"/>
      <c r="EI27" s="47"/>
      <c r="EJ27" s="47"/>
      <c r="EK27" s="47">
        <v>288</v>
      </c>
      <c r="EL27" s="47"/>
      <c r="EM27" s="47"/>
      <c r="EN27" s="47">
        <v>2503</v>
      </c>
      <c r="EO27" s="47"/>
      <c r="EP27" s="47">
        <v>2173</v>
      </c>
      <c r="EQ27" s="47"/>
      <c r="ER27" s="47"/>
      <c r="ES27" s="47"/>
      <c r="ET27" s="47"/>
      <c r="EU27" s="47"/>
      <c r="EV27" s="47"/>
      <c r="EW27" s="47">
        <v>1750</v>
      </c>
      <c r="EX27" s="47"/>
      <c r="EY27" s="47"/>
      <c r="EZ27" s="47">
        <v>96</v>
      </c>
      <c r="FA27" s="47"/>
      <c r="FB27" s="47">
        <v>1703.8</v>
      </c>
      <c r="FC27" s="47">
        <v>1994.6</v>
      </c>
      <c r="FD27" s="47"/>
      <c r="FE27" s="47"/>
      <c r="FF27" s="47">
        <v>320</v>
      </c>
      <c r="FG27" s="47"/>
      <c r="FH27" s="47"/>
      <c r="FI27" s="47"/>
      <c r="FJ27" s="47"/>
      <c r="FK27" s="47"/>
      <c r="FL27" s="47"/>
      <c r="FM27" s="47"/>
      <c r="FN27" s="47"/>
      <c r="FO27" s="47"/>
      <c r="FP27" s="47">
        <v>264.2</v>
      </c>
      <c r="FQ27" s="47"/>
      <c r="FR27" s="47">
        <v>19036</v>
      </c>
      <c r="FS27" s="47"/>
      <c r="FT27" s="47">
        <v>14650</v>
      </c>
      <c r="FU27" s="47"/>
      <c r="FV27" s="47">
        <v>8610.7000000000007</v>
      </c>
      <c r="FW27" s="47"/>
      <c r="FX27" s="47"/>
      <c r="FY27" s="47"/>
      <c r="FZ27" s="47"/>
      <c r="GA27" s="47"/>
      <c r="GB27" s="47"/>
      <c r="GC27" s="47"/>
      <c r="GD27" s="47"/>
      <c r="GE27" s="47"/>
      <c r="GF27" s="47">
        <v>688</v>
      </c>
      <c r="GG27" s="47"/>
      <c r="GH27" s="47"/>
      <c r="GI27" s="47">
        <v>1878</v>
      </c>
      <c r="GJ27" s="47"/>
      <c r="GK27" s="47">
        <v>2052.6</v>
      </c>
      <c r="GL27" s="47"/>
      <c r="GM27" s="47"/>
      <c r="GN27" s="47">
        <v>2442.6</v>
      </c>
      <c r="GO27" s="47"/>
      <c r="GP27" s="47">
        <v>211</v>
      </c>
      <c r="GQ27" s="47"/>
      <c r="GR27" s="47"/>
      <c r="GS27" s="47">
        <v>14.9</v>
      </c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>
        <v>23167.8</v>
      </c>
      <c r="HK27" s="47"/>
      <c r="HL27" s="47"/>
      <c r="HM27" s="47"/>
      <c r="HN27" s="47"/>
      <c r="HO27" s="47"/>
      <c r="HP27" s="47">
        <v>2570.4</v>
      </c>
      <c r="HQ27" s="47">
        <v>145</v>
      </c>
      <c r="HR27" s="47"/>
      <c r="HS27" s="47"/>
      <c r="HT27" s="47"/>
      <c r="HU27" s="47"/>
      <c r="HV27" s="47"/>
      <c r="HW27" s="47">
        <v>1848</v>
      </c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>
        <v>437.5</v>
      </c>
      <c r="IL27" s="47"/>
      <c r="IM27" s="47"/>
      <c r="IN27" s="47">
        <v>2544</v>
      </c>
      <c r="IO27" s="47"/>
      <c r="IP27" s="47"/>
      <c r="IQ27" s="47"/>
      <c r="IR27" s="47"/>
      <c r="IS27" s="47">
        <v>2227.6</v>
      </c>
      <c r="IT27" s="47"/>
      <c r="IU27" s="47"/>
      <c r="IV27" s="47"/>
      <c r="IW27" s="47">
        <v>440</v>
      </c>
      <c r="IX27" s="47"/>
      <c r="IY27" s="47"/>
      <c r="IZ27" s="47"/>
      <c r="JA27" s="47">
        <v>842.9</v>
      </c>
      <c r="JB27" s="47"/>
      <c r="JC27" s="47"/>
      <c r="JD27" s="47"/>
      <c r="JE27" s="47"/>
      <c r="JF27" s="47">
        <v>504</v>
      </c>
      <c r="JG27" s="47"/>
      <c r="JH27" s="47"/>
      <c r="JI27" s="47"/>
      <c r="JJ27" s="47"/>
      <c r="JK27" s="47"/>
      <c r="JL27" s="47">
        <v>123.2</v>
      </c>
      <c r="JM27" s="47">
        <v>140</v>
      </c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>
        <v>900.6</v>
      </c>
      <c r="KA27" s="47"/>
      <c r="KB27" s="47"/>
      <c r="KC27" s="47"/>
      <c r="KD27" s="47"/>
      <c r="KE27" s="47"/>
      <c r="KF27" s="47"/>
      <c r="KG27" s="47"/>
      <c r="KH27" s="47"/>
      <c r="KI27" s="47">
        <v>1300.8</v>
      </c>
      <c r="KJ27" s="47"/>
      <c r="KK27" s="47"/>
      <c r="KL27" s="47"/>
      <c r="KM27" s="47"/>
      <c r="KN27" s="47"/>
      <c r="KO27" s="47">
        <v>632</v>
      </c>
      <c r="KP27" s="47"/>
      <c r="KQ27" s="47">
        <v>1000</v>
      </c>
      <c r="KR27" s="47">
        <v>2400</v>
      </c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>
        <v>416</v>
      </c>
      <c r="LD27" s="47"/>
      <c r="LE27" s="47"/>
      <c r="LF27" s="47">
        <v>27190</v>
      </c>
      <c r="LG27" s="47">
        <v>33049.4</v>
      </c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>
        <v>7408</v>
      </c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>
        <v>96</v>
      </c>
      <c r="MF27" s="47"/>
      <c r="MG27" s="47"/>
      <c r="MH27" s="47"/>
      <c r="MI27" s="47">
        <v>18517</v>
      </c>
      <c r="MJ27" s="47"/>
      <c r="MK27" s="47">
        <v>7705.3</v>
      </c>
      <c r="ML27" s="47">
        <v>146099.9</v>
      </c>
      <c r="MM27" s="47"/>
      <c r="MN27" s="47"/>
      <c r="MO27" s="47"/>
      <c r="MP27" s="47"/>
      <c r="MQ27" s="47"/>
      <c r="MR27" s="47"/>
      <c r="MS27" s="47">
        <v>3063.2</v>
      </c>
      <c r="MT27" s="47"/>
      <c r="MU27" s="47"/>
      <c r="MV27" s="47"/>
      <c r="MW27" s="47"/>
      <c r="MX27" s="14"/>
      <c r="MY27" s="14"/>
      <c r="MZ27" s="2"/>
      <c r="NA27" s="2"/>
    </row>
    <row r="28" spans="1:365" ht="14.25" x14ac:dyDescent="0.2">
      <c r="A28" s="60" t="s">
        <v>2</v>
      </c>
      <c r="B28" s="60"/>
      <c r="C28" s="56">
        <f t="shared" si="11"/>
        <v>1963547.3999999997</v>
      </c>
      <c r="D28" s="47"/>
      <c r="E28" s="47"/>
      <c r="F28" s="47"/>
      <c r="G28" s="47"/>
      <c r="H28" s="47"/>
      <c r="I28" s="47"/>
      <c r="J28" s="47"/>
      <c r="K28" s="47"/>
      <c r="L28" s="47">
        <v>1628</v>
      </c>
      <c r="M28" s="47"/>
      <c r="N28" s="47"/>
      <c r="O28" s="47">
        <v>1405304.1</v>
      </c>
      <c r="P28" s="47">
        <v>100</v>
      </c>
      <c r="Q28" s="47"/>
      <c r="R28" s="47"/>
      <c r="S28" s="47">
        <v>1620</v>
      </c>
      <c r="T28" s="47"/>
      <c r="U28" s="47"/>
      <c r="V28" s="47">
        <v>1141.9000000000001</v>
      </c>
      <c r="W28" s="47"/>
      <c r="X28" s="47"/>
      <c r="Y28" s="47"/>
      <c r="Z28" s="47"/>
      <c r="AA28" s="47"/>
      <c r="AB28" s="47"/>
      <c r="AC28" s="47"/>
      <c r="AD28" s="47">
        <v>1700</v>
      </c>
      <c r="AE28" s="47">
        <v>44000</v>
      </c>
      <c r="AF28" s="47"/>
      <c r="AG28" s="47">
        <v>3250</v>
      </c>
      <c r="AH28" s="47"/>
      <c r="AI28" s="47"/>
      <c r="AJ28" s="47"/>
      <c r="AK28" s="47">
        <v>1190.5999999999999</v>
      </c>
      <c r="AL28" s="47">
        <v>602.20000000000005</v>
      </c>
      <c r="AM28" s="47"/>
      <c r="AN28" s="47"/>
      <c r="AO28" s="47"/>
      <c r="AP28" s="47"/>
      <c r="AQ28" s="47"/>
      <c r="AR28" s="47"/>
      <c r="AS28" s="47"/>
      <c r="AT28" s="47">
        <v>2609.6</v>
      </c>
      <c r="AU28" s="47"/>
      <c r="AV28" s="47"/>
      <c r="AW28" s="47"/>
      <c r="AX28" s="47">
        <v>268.39999999999998</v>
      </c>
      <c r="AY28" s="47">
        <v>88.6</v>
      </c>
      <c r="AZ28" s="47">
        <v>3777.2</v>
      </c>
      <c r="BA28" s="47"/>
      <c r="BB28" s="47"/>
      <c r="BC28" s="47">
        <v>10953.2</v>
      </c>
      <c r="BD28" s="47"/>
      <c r="BE28" s="47"/>
      <c r="BF28" s="47"/>
      <c r="BG28" s="47"/>
      <c r="BH28" s="47">
        <v>10125.6</v>
      </c>
      <c r="BI28" s="47"/>
      <c r="BJ28" s="47">
        <v>12020.6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>
        <v>150</v>
      </c>
      <c r="CD28" s="47"/>
      <c r="CE28" s="47">
        <v>792</v>
      </c>
      <c r="CF28" s="47"/>
      <c r="CG28" s="47"/>
      <c r="CH28" s="47"/>
      <c r="CI28" s="47"/>
      <c r="CJ28" s="47">
        <f>10680.3+100+1718.7</f>
        <v>12499</v>
      </c>
      <c r="CK28" s="47"/>
      <c r="CL28" s="47"/>
      <c r="CM28" s="47">
        <v>873</v>
      </c>
      <c r="CN28" s="47"/>
      <c r="CO28" s="47"/>
      <c r="CP28" s="47">
        <v>41545.5</v>
      </c>
      <c r="CQ28" s="47"/>
      <c r="CR28" s="47"/>
      <c r="CS28" s="47"/>
      <c r="CT28" s="47"/>
      <c r="CU28" s="47"/>
      <c r="CV28" s="47">
        <v>501.8</v>
      </c>
      <c r="CW28" s="47">
        <v>2400</v>
      </c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>
        <v>120</v>
      </c>
      <c r="DI28" s="47">
        <v>3188.2</v>
      </c>
      <c r="DJ28" s="47"/>
      <c r="DK28" s="47"/>
      <c r="DL28" s="47">
        <v>4487.3999999999996</v>
      </c>
      <c r="DM28" s="47">
        <v>1450.9</v>
      </c>
      <c r="DN28" s="47">
        <v>3087.5</v>
      </c>
      <c r="DO28" s="47"/>
      <c r="DP28" s="47"/>
      <c r="DQ28" s="47"/>
      <c r="DR28" s="47"/>
      <c r="DS28" s="47"/>
      <c r="DT28" s="47">
        <v>4500</v>
      </c>
      <c r="DU28" s="47"/>
      <c r="DV28" s="47"/>
      <c r="DW28" s="47"/>
      <c r="DX28" s="47">
        <v>1752.7</v>
      </c>
      <c r="DY28" s="47"/>
      <c r="DZ28" s="47">
        <v>750</v>
      </c>
      <c r="EA28" s="47"/>
      <c r="EB28" s="47"/>
      <c r="EC28" s="47">
        <v>40</v>
      </c>
      <c r="ED28" s="47"/>
      <c r="EE28" s="47"/>
      <c r="EF28" s="47"/>
      <c r="EG28" s="47"/>
      <c r="EH28" s="47">
        <v>134.19999999999999</v>
      </c>
      <c r="EI28" s="47">
        <v>7051.1</v>
      </c>
      <c r="EJ28" s="47">
        <v>4016</v>
      </c>
      <c r="EK28" s="47"/>
      <c r="EL28" s="47"/>
      <c r="EM28" s="47">
        <v>329.9</v>
      </c>
      <c r="EN28" s="47">
        <v>43361.2</v>
      </c>
      <c r="EO28" s="47"/>
      <c r="EP28" s="47">
        <v>12201.1</v>
      </c>
      <c r="EQ28" s="47">
        <v>3012.3</v>
      </c>
      <c r="ER28" s="47">
        <v>464.1</v>
      </c>
      <c r="ES28" s="47">
        <v>500</v>
      </c>
      <c r="ET28" s="47"/>
      <c r="EU28" s="47"/>
      <c r="EV28" s="47"/>
      <c r="EW28" s="47">
        <v>1050</v>
      </c>
      <c r="EX28" s="47"/>
      <c r="EY28" s="47"/>
      <c r="EZ28" s="47"/>
      <c r="FA28" s="47">
        <f>123309.5+86000.6</f>
        <v>209310.1</v>
      </c>
      <c r="FB28" s="47">
        <v>2451.1</v>
      </c>
      <c r="FC28" s="47">
        <v>4500</v>
      </c>
      <c r="FD28" s="47"/>
      <c r="FE28" s="47"/>
      <c r="FF28" s="47"/>
      <c r="FG28" s="47"/>
      <c r="FH28" s="47"/>
      <c r="FI28" s="47"/>
      <c r="FJ28" s="47"/>
      <c r="FK28" s="47">
        <v>136.19999999999999</v>
      </c>
      <c r="FL28" s="47"/>
      <c r="FM28" s="47"/>
      <c r="FN28" s="47"/>
      <c r="FO28" s="47"/>
      <c r="FP28" s="47"/>
      <c r="FQ28" s="47"/>
      <c r="FR28" s="47">
        <v>2548.4</v>
      </c>
      <c r="FS28" s="47"/>
      <c r="FT28" s="47">
        <v>1530</v>
      </c>
      <c r="FU28" s="47"/>
      <c r="FV28" s="47">
        <v>120</v>
      </c>
      <c r="FW28" s="47"/>
      <c r="FX28" s="47"/>
      <c r="FY28" s="47"/>
      <c r="FZ28" s="47"/>
      <c r="GA28" s="47"/>
      <c r="GB28" s="47"/>
      <c r="GC28" s="47"/>
      <c r="GD28" s="47">
        <v>3053.5</v>
      </c>
      <c r="GE28" s="47"/>
      <c r="GF28" s="47"/>
      <c r="GG28" s="47"/>
      <c r="GH28" s="47"/>
      <c r="GI28" s="47">
        <v>100</v>
      </c>
      <c r="GJ28" s="47"/>
      <c r="GK28" s="47"/>
      <c r="GL28" s="47"/>
      <c r="GM28" s="47"/>
      <c r="GN28" s="47"/>
      <c r="GO28" s="47"/>
      <c r="GP28" s="47">
        <v>2684</v>
      </c>
      <c r="GQ28" s="47"/>
      <c r="GR28" s="47"/>
      <c r="GS28" s="47"/>
      <c r="GT28" s="47"/>
      <c r="GU28" s="47"/>
      <c r="GV28" s="47"/>
      <c r="GW28" s="47"/>
      <c r="GX28" s="47"/>
      <c r="GY28" s="47"/>
      <c r="GZ28" s="47">
        <v>2192.6999999999998</v>
      </c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>
        <v>40</v>
      </c>
      <c r="HX28" s="47">
        <v>1715</v>
      </c>
      <c r="HY28" s="47"/>
      <c r="HZ28" s="47"/>
      <c r="IA28" s="47">
        <v>8050</v>
      </c>
      <c r="IB28" s="47"/>
      <c r="IC28" s="47"/>
      <c r="ID28" s="47"/>
      <c r="IE28" s="47"/>
      <c r="IF28" s="47"/>
      <c r="IG28" s="47"/>
      <c r="IH28" s="47"/>
      <c r="II28" s="47"/>
      <c r="IJ28" s="47"/>
      <c r="IK28" s="47">
        <v>856.9</v>
      </c>
      <c r="IL28" s="47"/>
      <c r="IM28" s="47"/>
      <c r="IN28" s="47"/>
      <c r="IO28" s="47"/>
      <c r="IP28" s="47"/>
      <c r="IQ28" s="47"/>
      <c r="IR28" s="47">
        <v>775</v>
      </c>
      <c r="IS28" s="47">
        <v>14988</v>
      </c>
      <c r="IT28" s="47"/>
      <c r="IU28" s="47"/>
      <c r="IV28" s="47"/>
      <c r="IW28" s="47">
        <v>959.4</v>
      </c>
      <c r="IX28" s="47"/>
      <c r="IY28" s="47"/>
      <c r="IZ28" s="47"/>
      <c r="JA28" s="47"/>
      <c r="JB28" s="47"/>
      <c r="JC28" s="47"/>
      <c r="JD28" s="47"/>
      <c r="JE28" s="47"/>
      <c r="JF28" s="47">
        <v>1869.8</v>
      </c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>
        <v>1551.2</v>
      </c>
      <c r="JV28" s="47"/>
      <c r="JW28" s="47">
        <v>22693.5</v>
      </c>
      <c r="JX28" s="47"/>
      <c r="JY28" s="47"/>
      <c r="JZ28" s="47"/>
      <c r="KA28" s="47"/>
      <c r="KB28" s="47"/>
      <c r="KC28" s="47"/>
      <c r="KD28" s="47"/>
      <c r="KE28" s="47"/>
      <c r="KF28" s="47"/>
      <c r="KG28" s="47">
        <v>9610.6</v>
      </c>
      <c r="KH28" s="47"/>
      <c r="KI28" s="47">
        <v>2841.9</v>
      </c>
      <c r="KJ28" s="47"/>
      <c r="KK28" s="47"/>
      <c r="KL28" s="47"/>
      <c r="KM28" s="47">
        <v>1700</v>
      </c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>
        <v>2577.9</v>
      </c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>
        <v>1500</v>
      </c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>
        <v>1500</v>
      </c>
      <c r="MH28" s="47"/>
      <c r="MI28" s="47">
        <v>3800</v>
      </c>
      <c r="MJ28" s="47"/>
      <c r="MK28" s="47">
        <v>1126.9000000000001</v>
      </c>
      <c r="ML28" s="47">
        <v>2340</v>
      </c>
      <c r="MM28" s="47"/>
      <c r="MN28" s="47"/>
      <c r="MO28" s="47"/>
      <c r="MP28" s="47"/>
      <c r="MQ28" s="47"/>
      <c r="MR28" s="47"/>
      <c r="MS28" s="47">
        <v>3787.4</v>
      </c>
      <c r="MT28" s="47"/>
      <c r="MU28" s="47"/>
      <c r="MV28" s="47"/>
      <c r="MW28" s="47"/>
      <c r="MX28" s="14"/>
      <c r="MY28" s="14"/>
      <c r="MZ28" s="2"/>
      <c r="NA28" s="2"/>
    </row>
    <row r="29" spans="1:365" ht="14.25" x14ac:dyDescent="0.2">
      <c r="A29" s="60" t="s">
        <v>47</v>
      </c>
      <c r="B29" s="60"/>
      <c r="C29" s="56">
        <f t="shared" si="11"/>
        <v>1778.4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>
        <v>744.4</v>
      </c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>
        <v>125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>
        <v>79</v>
      </c>
      <c r="GJ29" s="47"/>
      <c r="GK29" s="47"/>
      <c r="GL29" s="47"/>
      <c r="GM29" s="47"/>
      <c r="GN29" s="47">
        <v>40</v>
      </c>
      <c r="GO29" s="47"/>
      <c r="GP29" s="47">
        <v>790</v>
      </c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14"/>
      <c r="MY29" s="14"/>
      <c r="MZ29" s="2"/>
      <c r="NA29" s="2"/>
    </row>
    <row r="30" spans="1:365" ht="15" x14ac:dyDescent="0.25">
      <c r="A30" s="65" t="s">
        <v>24</v>
      </c>
      <c r="B30" s="65"/>
      <c r="C30" s="65">
        <f t="shared" si="11"/>
        <v>3445895.1999999993</v>
      </c>
      <c r="D30" s="66"/>
      <c r="E30" s="66"/>
      <c r="F30" s="66"/>
      <c r="G30" s="66"/>
      <c r="H30" s="66"/>
      <c r="I30" s="66"/>
      <c r="J30" s="66">
        <v>11664</v>
      </c>
      <c r="K30" s="66"/>
      <c r="L30" s="66"/>
      <c r="M30" s="66"/>
      <c r="N30" s="66"/>
      <c r="O30" s="66">
        <v>1244344</v>
      </c>
      <c r="P30" s="66"/>
      <c r="Q30" s="66"/>
      <c r="R30" s="66"/>
      <c r="S30" s="66"/>
      <c r="T30" s="66"/>
      <c r="U30" s="66"/>
      <c r="V30" s="66">
        <v>5184</v>
      </c>
      <c r="W30" s="66">
        <v>648</v>
      </c>
      <c r="X30" s="66"/>
      <c r="Y30" s="66">
        <v>4536</v>
      </c>
      <c r="Z30" s="66">
        <v>33912</v>
      </c>
      <c r="AA30" s="66"/>
      <c r="AB30" s="66">
        <v>62331</v>
      </c>
      <c r="AC30" s="66"/>
      <c r="AD30" s="66"/>
      <c r="AE30" s="66">
        <v>23724</v>
      </c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>
        <v>48308.4</v>
      </c>
      <c r="AS30" s="66">
        <v>50148.800000000003</v>
      </c>
      <c r="AT30" s="66"/>
      <c r="AU30" s="66"/>
      <c r="AV30" s="66"/>
      <c r="AW30" s="66">
        <v>432</v>
      </c>
      <c r="AX30" s="66">
        <v>25128</v>
      </c>
      <c r="AY30" s="66">
        <v>6264</v>
      </c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>
        <v>864</v>
      </c>
      <c r="BM30" s="66">
        <v>12096</v>
      </c>
      <c r="BN30" s="66"/>
      <c r="BO30" s="66"/>
      <c r="BP30" s="66"/>
      <c r="BQ30" s="66">
        <v>17899.2</v>
      </c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>
        <v>20520</v>
      </c>
      <c r="CK30" s="66"/>
      <c r="CL30" s="66"/>
      <c r="CM30" s="66">
        <v>4752</v>
      </c>
      <c r="CN30" s="66"/>
      <c r="CO30" s="66"/>
      <c r="CP30" s="66">
        <v>7776</v>
      </c>
      <c r="CQ30" s="66"/>
      <c r="CR30" s="66"/>
      <c r="CS30" s="66"/>
      <c r="CT30" s="66"/>
      <c r="CU30" s="66"/>
      <c r="CV30" s="66"/>
      <c r="CW30" s="66">
        <v>25488</v>
      </c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>
        <v>69516</v>
      </c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>
        <v>109246.39999999999</v>
      </c>
      <c r="EO30" s="66"/>
      <c r="EP30" s="66"/>
      <c r="EQ30" s="66"/>
      <c r="ER30" s="66"/>
      <c r="ES30" s="66"/>
      <c r="ET30" s="66"/>
      <c r="EU30" s="66"/>
      <c r="EV30" s="66"/>
      <c r="EW30" s="66">
        <v>82224</v>
      </c>
      <c r="EX30" s="66"/>
      <c r="EY30" s="66"/>
      <c r="EZ30" s="66">
        <v>727.2</v>
      </c>
      <c r="FA30" s="66">
        <v>49896</v>
      </c>
      <c r="FB30" s="66"/>
      <c r="FC30" s="66">
        <v>384480.6</v>
      </c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>
        <v>22263</v>
      </c>
      <c r="FR30" s="66"/>
      <c r="FS30" s="66"/>
      <c r="FT30" s="66">
        <v>55296</v>
      </c>
      <c r="FU30" s="66"/>
      <c r="FV30" s="66"/>
      <c r="FW30" s="66"/>
      <c r="FX30" s="66">
        <v>2592</v>
      </c>
      <c r="FY30" s="66"/>
      <c r="FZ30" s="66"/>
      <c r="GA30" s="66">
        <v>432</v>
      </c>
      <c r="GB30" s="66"/>
      <c r="GC30" s="66">
        <v>7848</v>
      </c>
      <c r="GD30" s="66">
        <v>17928</v>
      </c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>
        <v>6480</v>
      </c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>
        <v>648</v>
      </c>
      <c r="IP30" s="66"/>
      <c r="IQ30" s="66"/>
      <c r="IR30" s="66"/>
      <c r="IS30" s="66"/>
      <c r="IT30" s="66"/>
      <c r="IU30" s="66"/>
      <c r="IV30" s="66"/>
      <c r="IW30" s="66">
        <v>45842.400000000001</v>
      </c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>
        <v>1296</v>
      </c>
      <c r="JO30" s="66">
        <v>30794.400000000001</v>
      </c>
      <c r="JP30" s="66"/>
      <c r="JQ30" s="66"/>
      <c r="JR30" s="66"/>
      <c r="JS30" s="66"/>
      <c r="JT30" s="66"/>
      <c r="JU30" s="66"/>
      <c r="JV30" s="66"/>
      <c r="JW30" s="66">
        <v>33768</v>
      </c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>
        <v>857204</v>
      </c>
      <c r="KX30" s="66"/>
      <c r="KY30" s="66"/>
      <c r="KZ30" s="66"/>
      <c r="LA30" s="66"/>
      <c r="LB30" s="66"/>
      <c r="LC30" s="66"/>
      <c r="LD30" s="66"/>
      <c r="LE30" s="66"/>
      <c r="LF30" s="66">
        <v>15091.8</v>
      </c>
      <c r="LG30" s="66">
        <v>5184</v>
      </c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>
        <v>3894</v>
      </c>
      <c r="ML30" s="66">
        <v>24408</v>
      </c>
      <c r="MM30" s="66"/>
      <c r="MN30" s="66">
        <v>7632</v>
      </c>
      <c r="MO30" s="66"/>
      <c r="MP30" s="66"/>
      <c r="MQ30" s="66">
        <v>5184</v>
      </c>
      <c r="MR30" s="66"/>
      <c r="MS30" s="66"/>
      <c r="MT30" s="66"/>
      <c r="MU30" s="66"/>
      <c r="MV30" s="66"/>
      <c r="MW30" s="66"/>
      <c r="MX30" s="9"/>
      <c r="MY30" s="9"/>
      <c r="MZ30" s="9"/>
      <c r="NA30" s="9"/>
    </row>
    <row r="31" spans="1:365" ht="15" customHeight="1" x14ac:dyDescent="0.2">
      <c r="A31" s="55" t="s">
        <v>25</v>
      </c>
      <c r="B31" s="55"/>
      <c r="C31" s="56">
        <f t="shared" si="11"/>
        <v>85574.1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>
        <v>46000</v>
      </c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>
        <v>1000</v>
      </c>
      <c r="EH31" s="47"/>
      <c r="EI31" s="47"/>
      <c r="EJ31" s="47"/>
      <c r="EK31" s="47"/>
      <c r="EL31" s="47"/>
      <c r="EM31" s="47"/>
      <c r="EN31" s="47">
        <v>3200</v>
      </c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>
        <v>4000</v>
      </c>
      <c r="FD31" s="47">
        <v>1126.3</v>
      </c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>
        <v>150</v>
      </c>
      <c r="FQ31" s="47"/>
      <c r="FR31" s="47"/>
      <c r="FS31" s="47"/>
      <c r="FT31" s="47">
        <v>2400</v>
      </c>
      <c r="FU31" s="47"/>
      <c r="FV31" s="47">
        <v>30</v>
      </c>
      <c r="FW31" s="47"/>
      <c r="FX31" s="47"/>
      <c r="FY31" s="47"/>
      <c r="FZ31" s="47"/>
      <c r="GA31" s="47"/>
      <c r="GB31" s="47"/>
      <c r="GC31" s="47"/>
      <c r="GD31" s="47">
        <v>1200</v>
      </c>
      <c r="GE31" s="47"/>
      <c r="GF31" s="47"/>
      <c r="GG31" s="47"/>
      <c r="GH31" s="47"/>
      <c r="GI31" s="62">
        <v>5</v>
      </c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>
        <v>10000</v>
      </c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>
        <v>14488.8</v>
      </c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>
        <v>334</v>
      </c>
      <c r="MJ31" s="47"/>
      <c r="MK31" s="47"/>
      <c r="ML31" s="47">
        <v>1640</v>
      </c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14"/>
      <c r="MY31" s="14"/>
      <c r="MZ31" s="2"/>
      <c r="NA31" s="2"/>
    </row>
    <row r="32" spans="1:365" ht="14.25" x14ac:dyDescent="0.2">
      <c r="A32" s="60" t="s">
        <v>44</v>
      </c>
      <c r="B32" s="67"/>
      <c r="C32" s="56">
        <f t="shared" si="11"/>
        <v>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14"/>
      <c r="MY32" s="14"/>
      <c r="MZ32" s="2"/>
      <c r="NA32" s="2"/>
    </row>
    <row r="33" spans="1:365" ht="14.25" x14ac:dyDescent="0.2">
      <c r="A33" s="50" t="s">
        <v>26</v>
      </c>
      <c r="B33" s="61" t="s">
        <v>27</v>
      </c>
      <c r="C33" s="68">
        <f>C34+C35+C36</f>
        <v>10018224.1</v>
      </c>
      <c r="D33" s="69">
        <f>D34+D35+D36</f>
        <v>0</v>
      </c>
      <c r="E33" s="69">
        <f t="shared" ref="E33:BP33" si="18">E34+E35+E36</f>
        <v>0</v>
      </c>
      <c r="F33" s="69">
        <f t="shared" si="18"/>
        <v>0</v>
      </c>
      <c r="G33" s="69">
        <f t="shared" si="18"/>
        <v>0</v>
      </c>
      <c r="H33" s="69">
        <f t="shared" si="18"/>
        <v>0</v>
      </c>
      <c r="I33" s="69">
        <f t="shared" si="18"/>
        <v>0</v>
      </c>
      <c r="J33" s="69">
        <f t="shared" si="18"/>
        <v>0</v>
      </c>
      <c r="K33" s="69">
        <f t="shared" si="18"/>
        <v>52</v>
      </c>
      <c r="L33" s="69">
        <f t="shared" si="18"/>
        <v>0</v>
      </c>
      <c r="M33" s="69">
        <f t="shared" si="18"/>
        <v>12</v>
      </c>
      <c r="N33" s="69">
        <f t="shared" si="18"/>
        <v>296.2</v>
      </c>
      <c r="O33" s="69">
        <f t="shared" si="18"/>
        <v>3506.8</v>
      </c>
      <c r="P33" s="69">
        <f t="shared" si="18"/>
        <v>0</v>
      </c>
      <c r="Q33" s="69">
        <f t="shared" si="18"/>
        <v>0</v>
      </c>
      <c r="R33" s="69">
        <f t="shared" si="18"/>
        <v>0</v>
      </c>
      <c r="S33" s="69">
        <f t="shared" si="18"/>
        <v>0</v>
      </c>
      <c r="T33" s="69">
        <f t="shared" si="18"/>
        <v>0</v>
      </c>
      <c r="U33" s="69">
        <f t="shared" si="18"/>
        <v>18</v>
      </c>
      <c r="V33" s="69">
        <f t="shared" si="18"/>
        <v>539.79999999999995</v>
      </c>
      <c r="W33" s="69">
        <f t="shared" si="18"/>
        <v>0</v>
      </c>
      <c r="X33" s="69">
        <f t="shared" si="18"/>
        <v>0</v>
      </c>
      <c r="Y33" s="69">
        <f t="shared" si="18"/>
        <v>158.6</v>
      </c>
      <c r="Z33" s="69">
        <f t="shared" si="18"/>
        <v>0</v>
      </c>
      <c r="AA33" s="69">
        <f t="shared" si="18"/>
        <v>0</v>
      </c>
      <c r="AB33" s="69">
        <f t="shared" si="18"/>
        <v>0</v>
      </c>
      <c r="AC33" s="69">
        <f t="shared" si="18"/>
        <v>0</v>
      </c>
      <c r="AD33" s="69">
        <f t="shared" si="18"/>
        <v>0</v>
      </c>
      <c r="AE33" s="69">
        <f t="shared" si="18"/>
        <v>55.2</v>
      </c>
      <c r="AF33" s="69">
        <f t="shared" si="18"/>
        <v>0</v>
      </c>
      <c r="AG33" s="69">
        <f t="shared" si="18"/>
        <v>401.6</v>
      </c>
      <c r="AH33" s="69">
        <f t="shared" si="18"/>
        <v>0</v>
      </c>
      <c r="AI33" s="69">
        <f t="shared" si="18"/>
        <v>0</v>
      </c>
      <c r="AJ33" s="69">
        <f t="shared" si="18"/>
        <v>0</v>
      </c>
      <c r="AK33" s="69">
        <f t="shared" si="18"/>
        <v>0</v>
      </c>
      <c r="AL33" s="69">
        <f t="shared" si="18"/>
        <v>0</v>
      </c>
      <c r="AM33" s="69">
        <f t="shared" si="18"/>
        <v>0</v>
      </c>
      <c r="AN33" s="69">
        <f t="shared" si="18"/>
        <v>0</v>
      </c>
      <c r="AO33" s="69">
        <f t="shared" si="18"/>
        <v>0</v>
      </c>
      <c r="AP33" s="69">
        <f t="shared" si="18"/>
        <v>0</v>
      </c>
      <c r="AQ33" s="69">
        <f t="shared" si="18"/>
        <v>0</v>
      </c>
      <c r="AR33" s="69">
        <f t="shared" si="18"/>
        <v>4753.1000000000004</v>
      </c>
      <c r="AS33" s="69">
        <f t="shared" si="18"/>
        <v>1229.3</v>
      </c>
      <c r="AT33" s="69">
        <f t="shared" si="18"/>
        <v>7</v>
      </c>
      <c r="AU33" s="69">
        <f t="shared" si="18"/>
        <v>0</v>
      </c>
      <c r="AV33" s="69">
        <f t="shared" si="18"/>
        <v>7</v>
      </c>
      <c r="AW33" s="69">
        <f t="shared" si="18"/>
        <v>8</v>
      </c>
      <c r="AX33" s="69">
        <f t="shared" si="18"/>
        <v>1822.7</v>
      </c>
      <c r="AY33" s="69">
        <f t="shared" si="18"/>
        <v>0</v>
      </c>
      <c r="AZ33" s="69">
        <f t="shared" si="18"/>
        <v>0</v>
      </c>
      <c r="BA33" s="69">
        <f t="shared" si="18"/>
        <v>21</v>
      </c>
      <c r="BB33" s="69">
        <f t="shared" si="18"/>
        <v>0</v>
      </c>
      <c r="BC33" s="69">
        <f t="shared" si="18"/>
        <v>0</v>
      </c>
      <c r="BD33" s="69">
        <f t="shared" si="18"/>
        <v>0</v>
      </c>
      <c r="BE33" s="69">
        <f t="shared" si="18"/>
        <v>0</v>
      </c>
      <c r="BF33" s="69">
        <f t="shared" si="18"/>
        <v>0</v>
      </c>
      <c r="BG33" s="69">
        <f t="shared" si="18"/>
        <v>0</v>
      </c>
      <c r="BH33" s="69">
        <f t="shared" si="18"/>
        <v>0</v>
      </c>
      <c r="BI33" s="69">
        <f t="shared" si="18"/>
        <v>0</v>
      </c>
      <c r="BJ33" s="69">
        <f t="shared" si="18"/>
        <v>0</v>
      </c>
      <c r="BK33" s="69">
        <f t="shared" si="18"/>
        <v>0</v>
      </c>
      <c r="BL33" s="69">
        <f t="shared" si="18"/>
        <v>33</v>
      </c>
      <c r="BM33" s="69">
        <f t="shared" si="18"/>
        <v>572</v>
      </c>
      <c r="BN33" s="69">
        <f t="shared" si="18"/>
        <v>0</v>
      </c>
      <c r="BO33" s="69">
        <f t="shared" si="18"/>
        <v>0</v>
      </c>
      <c r="BP33" s="69">
        <f t="shared" si="18"/>
        <v>0</v>
      </c>
      <c r="BQ33" s="69">
        <f t="shared" ref="BQ33:EB33" si="19">BQ34+BQ35+BQ36</f>
        <v>0</v>
      </c>
      <c r="BR33" s="69">
        <f t="shared" si="19"/>
        <v>0</v>
      </c>
      <c r="BS33" s="69">
        <f t="shared" si="19"/>
        <v>0</v>
      </c>
      <c r="BT33" s="69">
        <f t="shared" si="19"/>
        <v>0</v>
      </c>
      <c r="BU33" s="69">
        <f t="shared" si="19"/>
        <v>0</v>
      </c>
      <c r="BV33" s="69">
        <f t="shared" si="19"/>
        <v>0</v>
      </c>
      <c r="BW33" s="69">
        <f t="shared" si="19"/>
        <v>0</v>
      </c>
      <c r="BX33" s="69">
        <f t="shared" si="19"/>
        <v>0</v>
      </c>
      <c r="BY33" s="69">
        <f t="shared" si="19"/>
        <v>0</v>
      </c>
      <c r="BZ33" s="69">
        <f t="shared" si="19"/>
        <v>0</v>
      </c>
      <c r="CA33" s="69">
        <f t="shared" si="19"/>
        <v>0</v>
      </c>
      <c r="CB33" s="69">
        <f t="shared" si="19"/>
        <v>0</v>
      </c>
      <c r="CC33" s="69">
        <f t="shared" si="19"/>
        <v>0</v>
      </c>
      <c r="CD33" s="69">
        <f t="shared" si="19"/>
        <v>0</v>
      </c>
      <c r="CE33" s="69">
        <f t="shared" si="19"/>
        <v>0</v>
      </c>
      <c r="CF33" s="69">
        <f t="shared" si="19"/>
        <v>0</v>
      </c>
      <c r="CG33" s="69">
        <f t="shared" si="19"/>
        <v>0</v>
      </c>
      <c r="CH33" s="69">
        <f t="shared" si="19"/>
        <v>7</v>
      </c>
      <c r="CI33" s="69">
        <f t="shared" si="19"/>
        <v>0</v>
      </c>
      <c r="CJ33" s="69">
        <f t="shared" si="19"/>
        <v>1150.5999999999999</v>
      </c>
      <c r="CK33" s="69">
        <f t="shared" si="19"/>
        <v>0</v>
      </c>
      <c r="CL33" s="69">
        <f t="shared" si="19"/>
        <v>114.6</v>
      </c>
      <c r="CM33" s="69">
        <f t="shared" si="19"/>
        <v>2711487.9</v>
      </c>
      <c r="CN33" s="69">
        <f t="shared" si="19"/>
        <v>0</v>
      </c>
      <c r="CO33" s="69">
        <f t="shared" si="19"/>
        <v>0</v>
      </c>
      <c r="CP33" s="69">
        <f t="shared" si="19"/>
        <v>95.4</v>
      </c>
      <c r="CQ33" s="69">
        <f t="shared" si="19"/>
        <v>0</v>
      </c>
      <c r="CR33" s="69">
        <f t="shared" si="19"/>
        <v>0</v>
      </c>
      <c r="CS33" s="69">
        <f t="shared" si="19"/>
        <v>133.80000000000001</v>
      </c>
      <c r="CT33" s="69">
        <f t="shared" si="19"/>
        <v>0</v>
      </c>
      <c r="CU33" s="69">
        <f t="shared" si="19"/>
        <v>18.2</v>
      </c>
      <c r="CV33" s="69">
        <f t="shared" si="19"/>
        <v>0</v>
      </c>
      <c r="CW33" s="69">
        <f t="shared" si="19"/>
        <v>149</v>
      </c>
      <c r="CX33" s="69">
        <f t="shared" si="19"/>
        <v>0</v>
      </c>
      <c r="CY33" s="69">
        <f t="shared" si="19"/>
        <v>0</v>
      </c>
      <c r="CZ33" s="69">
        <f t="shared" si="19"/>
        <v>0</v>
      </c>
      <c r="DA33" s="69">
        <f t="shared" si="19"/>
        <v>0</v>
      </c>
      <c r="DB33" s="69">
        <f t="shared" si="19"/>
        <v>0</v>
      </c>
      <c r="DC33" s="69">
        <f t="shared" si="19"/>
        <v>0</v>
      </c>
      <c r="DD33" s="69">
        <f t="shared" si="19"/>
        <v>0</v>
      </c>
      <c r="DE33" s="69">
        <f t="shared" si="19"/>
        <v>0</v>
      </c>
      <c r="DF33" s="69">
        <f t="shared" si="19"/>
        <v>0</v>
      </c>
      <c r="DG33" s="69">
        <f t="shared" si="19"/>
        <v>0</v>
      </c>
      <c r="DH33" s="69">
        <f t="shared" si="19"/>
        <v>0</v>
      </c>
      <c r="DI33" s="69">
        <f t="shared" si="19"/>
        <v>0</v>
      </c>
      <c r="DJ33" s="69">
        <f t="shared" si="19"/>
        <v>0</v>
      </c>
      <c r="DK33" s="69">
        <f t="shared" si="19"/>
        <v>300</v>
      </c>
      <c r="DL33" s="69">
        <f t="shared" si="19"/>
        <v>10</v>
      </c>
      <c r="DM33" s="69">
        <f t="shared" si="19"/>
        <v>0</v>
      </c>
      <c r="DN33" s="69">
        <f t="shared" si="19"/>
        <v>0</v>
      </c>
      <c r="DO33" s="69">
        <f t="shared" si="19"/>
        <v>0</v>
      </c>
      <c r="DP33" s="69">
        <f t="shared" si="19"/>
        <v>83.3</v>
      </c>
      <c r="DQ33" s="69">
        <f t="shared" si="19"/>
        <v>1106</v>
      </c>
      <c r="DR33" s="69">
        <f t="shared" si="19"/>
        <v>0</v>
      </c>
      <c r="DS33" s="69">
        <f t="shared" si="19"/>
        <v>23</v>
      </c>
      <c r="DT33" s="69">
        <f t="shared" si="19"/>
        <v>43.6</v>
      </c>
      <c r="DU33" s="69">
        <f t="shared" si="19"/>
        <v>0</v>
      </c>
      <c r="DV33" s="69">
        <f t="shared" si="19"/>
        <v>0</v>
      </c>
      <c r="DW33" s="69">
        <f t="shared" si="19"/>
        <v>0</v>
      </c>
      <c r="DX33" s="69">
        <f t="shared" si="19"/>
        <v>0</v>
      </c>
      <c r="DY33" s="69">
        <f t="shared" si="19"/>
        <v>0</v>
      </c>
      <c r="DZ33" s="69">
        <f t="shared" si="19"/>
        <v>15.2</v>
      </c>
      <c r="EA33" s="69">
        <f t="shared" si="19"/>
        <v>0</v>
      </c>
      <c r="EB33" s="69">
        <f t="shared" si="19"/>
        <v>35.6</v>
      </c>
      <c r="EC33" s="69">
        <f t="shared" ref="EC33:GD33" si="20">EC34+EC35+EC36</f>
        <v>0</v>
      </c>
      <c r="ED33" s="69">
        <f t="shared" si="20"/>
        <v>0</v>
      </c>
      <c r="EE33" s="69">
        <f t="shared" si="20"/>
        <v>0</v>
      </c>
      <c r="EF33" s="69">
        <f t="shared" si="20"/>
        <v>213</v>
      </c>
      <c r="EG33" s="69">
        <f t="shared" si="20"/>
        <v>0</v>
      </c>
      <c r="EH33" s="69">
        <f t="shared" si="20"/>
        <v>0</v>
      </c>
      <c r="EI33" s="69">
        <f t="shared" si="20"/>
        <v>17.8</v>
      </c>
      <c r="EJ33" s="69">
        <f t="shared" si="20"/>
        <v>0</v>
      </c>
      <c r="EK33" s="69">
        <f t="shared" si="20"/>
        <v>0</v>
      </c>
      <c r="EL33" s="69">
        <f t="shared" si="20"/>
        <v>15.2</v>
      </c>
      <c r="EM33" s="69">
        <f t="shared" si="20"/>
        <v>0</v>
      </c>
      <c r="EN33" s="69">
        <f t="shared" si="20"/>
        <v>2334</v>
      </c>
      <c r="EO33" s="69">
        <f t="shared" si="20"/>
        <v>0</v>
      </c>
      <c r="EP33" s="69">
        <f t="shared" si="20"/>
        <v>140.19999999999999</v>
      </c>
      <c r="EQ33" s="69">
        <f t="shared" si="20"/>
        <v>0</v>
      </c>
      <c r="ER33" s="69">
        <f t="shared" si="20"/>
        <v>0</v>
      </c>
      <c r="ES33" s="69">
        <f t="shared" si="20"/>
        <v>0</v>
      </c>
      <c r="ET33" s="69">
        <f t="shared" si="20"/>
        <v>0</v>
      </c>
      <c r="EU33" s="69">
        <f t="shared" si="20"/>
        <v>0</v>
      </c>
      <c r="EV33" s="69">
        <f t="shared" si="20"/>
        <v>0</v>
      </c>
      <c r="EW33" s="69">
        <f t="shared" si="20"/>
        <v>4122.3</v>
      </c>
      <c r="EX33" s="69">
        <f t="shared" si="20"/>
        <v>0</v>
      </c>
      <c r="EY33" s="69">
        <f t="shared" si="20"/>
        <v>51.4</v>
      </c>
      <c r="EZ33" s="69">
        <f t="shared" si="20"/>
        <v>0</v>
      </c>
      <c r="FA33" s="69">
        <f t="shared" si="20"/>
        <v>90.2</v>
      </c>
      <c r="FB33" s="69">
        <f t="shared" si="20"/>
        <v>0</v>
      </c>
      <c r="FC33" s="69">
        <f t="shared" si="20"/>
        <v>8437.3000000000011</v>
      </c>
      <c r="FD33" s="69">
        <f t="shared" si="20"/>
        <v>0</v>
      </c>
      <c r="FE33" s="69">
        <f t="shared" si="20"/>
        <v>0</v>
      </c>
      <c r="FF33" s="69">
        <f t="shared" si="20"/>
        <v>0</v>
      </c>
      <c r="FG33" s="69">
        <f t="shared" si="20"/>
        <v>0</v>
      </c>
      <c r="FH33" s="69">
        <f t="shared" si="20"/>
        <v>0</v>
      </c>
      <c r="FI33" s="69">
        <f t="shared" si="20"/>
        <v>0</v>
      </c>
      <c r="FJ33" s="69">
        <f t="shared" si="20"/>
        <v>0</v>
      </c>
      <c r="FK33" s="69">
        <f t="shared" si="20"/>
        <v>190.2</v>
      </c>
      <c r="FL33" s="69">
        <f t="shared" si="20"/>
        <v>5</v>
      </c>
      <c r="FM33" s="69">
        <f t="shared" si="20"/>
        <v>1120.5999999999999</v>
      </c>
      <c r="FN33" s="69">
        <f t="shared" si="20"/>
        <v>0</v>
      </c>
      <c r="FO33" s="69">
        <f t="shared" si="20"/>
        <v>0</v>
      </c>
      <c r="FP33" s="69">
        <f t="shared" si="20"/>
        <v>0</v>
      </c>
      <c r="FQ33" s="69">
        <f t="shared" si="20"/>
        <v>8288.4</v>
      </c>
      <c r="FR33" s="69">
        <f t="shared" si="20"/>
        <v>20782.400000000001</v>
      </c>
      <c r="FS33" s="69">
        <f t="shared" si="20"/>
        <v>111.2</v>
      </c>
      <c r="FT33" s="69">
        <f t="shared" si="20"/>
        <v>1164921.8999999999</v>
      </c>
      <c r="FU33" s="69">
        <f t="shared" si="20"/>
        <v>59</v>
      </c>
      <c r="FV33" s="69">
        <f t="shared" si="20"/>
        <v>62.8</v>
      </c>
      <c r="FW33" s="69">
        <f t="shared" si="20"/>
        <v>0</v>
      </c>
      <c r="FX33" s="69">
        <f t="shared" si="20"/>
        <v>522.6</v>
      </c>
      <c r="FY33" s="69">
        <f t="shared" si="20"/>
        <v>0</v>
      </c>
      <c r="FZ33" s="69">
        <f t="shared" si="20"/>
        <v>0</v>
      </c>
      <c r="GA33" s="69">
        <f t="shared" si="20"/>
        <v>29.6</v>
      </c>
      <c r="GB33" s="69">
        <f t="shared" si="20"/>
        <v>0</v>
      </c>
      <c r="GC33" s="69">
        <f t="shared" si="20"/>
        <v>0</v>
      </c>
      <c r="GD33" s="69">
        <f t="shared" si="20"/>
        <v>2180.4</v>
      </c>
      <c r="GE33" s="69">
        <f>GE34+GE35+GE36</f>
        <v>0</v>
      </c>
      <c r="GF33" s="69">
        <f>GF34+GF35+GF36</f>
        <v>0</v>
      </c>
      <c r="GG33" s="69">
        <f>GG34+GG35+GG36</f>
        <v>0</v>
      </c>
      <c r="GH33" s="69">
        <f t="shared" ref="GH33:IS33" si="21">GH34+GH35+GH36</f>
        <v>15.4</v>
      </c>
      <c r="GI33" s="69">
        <f t="shared" si="21"/>
        <v>2185</v>
      </c>
      <c r="GJ33" s="69">
        <f t="shared" si="21"/>
        <v>0</v>
      </c>
      <c r="GK33" s="69">
        <f t="shared" si="21"/>
        <v>0</v>
      </c>
      <c r="GL33" s="69">
        <f t="shared" si="21"/>
        <v>0</v>
      </c>
      <c r="GM33" s="69">
        <f t="shared" si="21"/>
        <v>0</v>
      </c>
      <c r="GN33" s="69">
        <f t="shared" si="21"/>
        <v>98.4</v>
      </c>
      <c r="GO33" s="69">
        <f t="shared" si="21"/>
        <v>0</v>
      </c>
      <c r="GP33" s="69">
        <f t="shared" si="21"/>
        <v>0</v>
      </c>
      <c r="GQ33" s="69">
        <f t="shared" si="21"/>
        <v>21</v>
      </c>
      <c r="GR33" s="69">
        <f t="shared" si="21"/>
        <v>0</v>
      </c>
      <c r="GS33" s="69">
        <f t="shared" si="21"/>
        <v>0</v>
      </c>
      <c r="GT33" s="69">
        <f t="shared" si="21"/>
        <v>0</v>
      </c>
      <c r="GU33" s="69">
        <f t="shared" si="21"/>
        <v>0</v>
      </c>
      <c r="GV33" s="69">
        <f t="shared" si="21"/>
        <v>0</v>
      </c>
      <c r="GW33" s="69">
        <f t="shared" si="21"/>
        <v>0</v>
      </c>
      <c r="GX33" s="69">
        <f t="shared" si="21"/>
        <v>0</v>
      </c>
      <c r="GY33" s="69">
        <f t="shared" si="21"/>
        <v>0</v>
      </c>
      <c r="GZ33" s="69">
        <f t="shared" si="21"/>
        <v>0</v>
      </c>
      <c r="HA33" s="69">
        <f t="shared" si="21"/>
        <v>0</v>
      </c>
      <c r="HB33" s="69">
        <f t="shared" si="21"/>
        <v>0</v>
      </c>
      <c r="HC33" s="69">
        <f t="shared" si="21"/>
        <v>0</v>
      </c>
      <c r="HD33" s="69">
        <f t="shared" si="21"/>
        <v>0</v>
      </c>
      <c r="HE33" s="69">
        <f t="shared" si="21"/>
        <v>0</v>
      </c>
      <c r="HF33" s="69">
        <f t="shared" si="21"/>
        <v>0</v>
      </c>
      <c r="HG33" s="69">
        <f t="shared" si="21"/>
        <v>0</v>
      </c>
      <c r="HH33" s="69">
        <f t="shared" si="21"/>
        <v>0</v>
      </c>
      <c r="HI33" s="69">
        <f t="shared" si="21"/>
        <v>0</v>
      </c>
      <c r="HJ33" s="69">
        <f t="shared" si="21"/>
        <v>0</v>
      </c>
      <c r="HK33" s="69">
        <f t="shared" si="21"/>
        <v>0</v>
      </c>
      <c r="HL33" s="69">
        <f t="shared" si="21"/>
        <v>0</v>
      </c>
      <c r="HM33" s="69">
        <f t="shared" si="21"/>
        <v>0</v>
      </c>
      <c r="HN33" s="69">
        <f t="shared" si="21"/>
        <v>67.900000000000006</v>
      </c>
      <c r="HO33" s="69">
        <f t="shared" si="21"/>
        <v>0</v>
      </c>
      <c r="HP33" s="69">
        <f t="shared" si="21"/>
        <v>0</v>
      </c>
      <c r="HQ33" s="69">
        <f t="shared" si="21"/>
        <v>0</v>
      </c>
      <c r="HR33" s="69">
        <f t="shared" si="21"/>
        <v>0</v>
      </c>
      <c r="HS33" s="69">
        <f t="shared" si="21"/>
        <v>267.60000000000002</v>
      </c>
      <c r="HT33" s="69">
        <f t="shared" si="21"/>
        <v>0</v>
      </c>
      <c r="HU33" s="69">
        <f t="shared" si="21"/>
        <v>0</v>
      </c>
      <c r="HV33" s="69">
        <f t="shared" si="21"/>
        <v>0</v>
      </c>
      <c r="HW33" s="69">
        <f t="shared" si="21"/>
        <v>0</v>
      </c>
      <c r="HX33" s="69">
        <f t="shared" si="21"/>
        <v>0</v>
      </c>
      <c r="HY33" s="69">
        <f t="shared" si="21"/>
        <v>0</v>
      </c>
      <c r="HZ33" s="69">
        <f t="shared" si="21"/>
        <v>0</v>
      </c>
      <c r="IA33" s="69">
        <f t="shared" si="21"/>
        <v>0</v>
      </c>
      <c r="IB33" s="69">
        <f t="shared" si="21"/>
        <v>90.8</v>
      </c>
      <c r="IC33" s="69">
        <f t="shared" si="21"/>
        <v>0</v>
      </c>
      <c r="ID33" s="69">
        <f t="shared" si="21"/>
        <v>320</v>
      </c>
      <c r="IE33" s="69">
        <f t="shared" si="21"/>
        <v>0</v>
      </c>
      <c r="IF33" s="69">
        <f t="shared" si="21"/>
        <v>0</v>
      </c>
      <c r="IG33" s="69">
        <f t="shared" si="21"/>
        <v>0</v>
      </c>
      <c r="IH33" s="69">
        <f t="shared" si="21"/>
        <v>0</v>
      </c>
      <c r="II33" s="69">
        <f t="shared" si="21"/>
        <v>0</v>
      </c>
      <c r="IJ33" s="69">
        <f t="shared" si="21"/>
        <v>0</v>
      </c>
      <c r="IK33" s="69">
        <f t="shared" si="21"/>
        <v>0</v>
      </c>
      <c r="IL33" s="69">
        <f t="shared" si="21"/>
        <v>0</v>
      </c>
      <c r="IM33" s="69">
        <f t="shared" si="21"/>
        <v>0</v>
      </c>
      <c r="IN33" s="69">
        <f t="shared" si="21"/>
        <v>0</v>
      </c>
      <c r="IO33" s="69">
        <f t="shared" si="21"/>
        <v>0</v>
      </c>
      <c r="IP33" s="69">
        <f t="shared" si="21"/>
        <v>0</v>
      </c>
      <c r="IQ33" s="69">
        <f t="shared" si="21"/>
        <v>0</v>
      </c>
      <c r="IR33" s="69">
        <f t="shared" si="21"/>
        <v>0</v>
      </c>
      <c r="IS33" s="69">
        <f t="shared" si="21"/>
        <v>0</v>
      </c>
      <c r="IT33" s="69">
        <f t="shared" ref="IT33:LE33" si="22">IT34+IT35+IT36</f>
        <v>0</v>
      </c>
      <c r="IU33" s="69">
        <f t="shared" si="22"/>
        <v>7</v>
      </c>
      <c r="IV33" s="69">
        <f t="shared" si="22"/>
        <v>0</v>
      </c>
      <c r="IW33" s="69">
        <f t="shared" si="22"/>
        <v>0</v>
      </c>
      <c r="IX33" s="69">
        <f t="shared" si="22"/>
        <v>0</v>
      </c>
      <c r="IY33" s="69">
        <f t="shared" si="22"/>
        <v>0</v>
      </c>
      <c r="IZ33" s="69">
        <f t="shared" si="22"/>
        <v>0</v>
      </c>
      <c r="JA33" s="69">
        <f t="shared" si="22"/>
        <v>39.6</v>
      </c>
      <c r="JB33" s="69">
        <f t="shared" si="22"/>
        <v>0</v>
      </c>
      <c r="JC33" s="69">
        <f t="shared" si="22"/>
        <v>0</v>
      </c>
      <c r="JD33" s="69">
        <f t="shared" si="22"/>
        <v>0</v>
      </c>
      <c r="JE33" s="69">
        <f t="shared" si="22"/>
        <v>0</v>
      </c>
      <c r="JF33" s="69">
        <f t="shared" si="22"/>
        <v>0</v>
      </c>
      <c r="JG33" s="69">
        <f t="shared" si="22"/>
        <v>0</v>
      </c>
      <c r="JH33" s="69">
        <f t="shared" si="22"/>
        <v>0</v>
      </c>
      <c r="JI33" s="69">
        <f t="shared" si="22"/>
        <v>0</v>
      </c>
      <c r="JJ33" s="69">
        <f t="shared" si="22"/>
        <v>0</v>
      </c>
      <c r="JK33" s="69">
        <f t="shared" si="22"/>
        <v>0</v>
      </c>
      <c r="JL33" s="69">
        <f t="shared" si="22"/>
        <v>0</v>
      </c>
      <c r="JM33" s="69">
        <f t="shared" si="22"/>
        <v>0</v>
      </c>
      <c r="JN33" s="69">
        <f t="shared" si="22"/>
        <v>0</v>
      </c>
      <c r="JO33" s="69">
        <f t="shared" si="22"/>
        <v>691.8</v>
      </c>
      <c r="JP33" s="69">
        <f t="shared" si="22"/>
        <v>0</v>
      </c>
      <c r="JQ33" s="69">
        <f t="shared" si="22"/>
        <v>0</v>
      </c>
      <c r="JR33" s="69">
        <f t="shared" si="22"/>
        <v>0</v>
      </c>
      <c r="JS33" s="69">
        <f t="shared" si="22"/>
        <v>0</v>
      </c>
      <c r="JT33" s="69">
        <f t="shared" si="22"/>
        <v>0</v>
      </c>
      <c r="JU33" s="69">
        <f t="shared" si="22"/>
        <v>0</v>
      </c>
      <c r="JV33" s="69">
        <f t="shared" si="22"/>
        <v>25</v>
      </c>
      <c r="JW33" s="69">
        <f t="shared" si="22"/>
        <v>0</v>
      </c>
      <c r="JX33" s="69">
        <f t="shared" si="22"/>
        <v>0</v>
      </c>
      <c r="JY33" s="69">
        <f t="shared" si="22"/>
        <v>0</v>
      </c>
      <c r="JZ33" s="69">
        <f t="shared" si="22"/>
        <v>0</v>
      </c>
      <c r="KA33" s="69">
        <f t="shared" si="22"/>
        <v>8.1999999999999993</v>
      </c>
      <c r="KB33" s="69">
        <f t="shared" si="22"/>
        <v>0</v>
      </c>
      <c r="KC33" s="69">
        <f t="shared" si="22"/>
        <v>15</v>
      </c>
      <c r="KD33" s="69">
        <f t="shared" si="22"/>
        <v>0</v>
      </c>
      <c r="KE33" s="69">
        <f t="shared" si="22"/>
        <v>0</v>
      </c>
      <c r="KF33" s="69">
        <f t="shared" si="22"/>
        <v>0</v>
      </c>
      <c r="KG33" s="69">
        <f t="shared" si="22"/>
        <v>0</v>
      </c>
      <c r="KH33" s="69">
        <f t="shared" si="22"/>
        <v>0</v>
      </c>
      <c r="KI33" s="69">
        <f t="shared" si="22"/>
        <v>0</v>
      </c>
      <c r="KJ33" s="69">
        <f t="shared" si="22"/>
        <v>0</v>
      </c>
      <c r="KK33" s="69">
        <f t="shared" si="22"/>
        <v>0</v>
      </c>
      <c r="KL33" s="69">
        <f t="shared" si="22"/>
        <v>0</v>
      </c>
      <c r="KM33" s="69">
        <f t="shared" si="22"/>
        <v>0</v>
      </c>
      <c r="KN33" s="69">
        <f t="shared" si="22"/>
        <v>0</v>
      </c>
      <c r="KO33" s="69">
        <f t="shared" si="22"/>
        <v>0</v>
      </c>
      <c r="KP33" s="69">
        <f t="shared" si="22"/>
        <v>0</v>
      </c>
      <c r="KQ33" s="69">
        <f t="shared" si="22"/>
        <v>0</v>
      </c>
      <c r="KR33" s="69">
        <f t="shared" si="22"/>
        <v>100</v>
      </c>
      <c r="KS33" s="69">
        <f t="shared" si="22"/>
        <v>0</v>
      </c>
      <c r="KT33" s="69">
        <f t="shared" si="22"/>
        <v>0</v>
      </c>
      <c r="KU33" s="69">
        <f t="shared" si="22"/>
        <v>0</v>
      </c>
      <c r="KV33" s="69">
        <f t="shared" si="22"/>
        <v>0</v>
      </c>
      <c r="KW33" s="69">
        <f t="shared" si="22"/>
        <v>0</v>
      </c>
      <c r="KX33" s="69">
        <f t="shared" si="22"/>
        <v>0</v>
      </c>
      <c r="KY33" s="69">
        <f t="shared" si="22"/>
        <v>0</v>
      </c>
      <c r="KZ33" s="69">
        <f t="shared" si="22"/>
        <v>0</v>
      </c>
      <c r="LA33" s="69">
        <f t="shared" si="22"/>
        <v>0</v>
      </c>
      <c r="LB33" s="69">
        <f t="shared" si="22"/>
        <v>0</v>
      </c>
      <c r="LC33" s="69">
        <f t="shared" si="22"/>
        <v>0</v>
      </c>
      <c r="LD33" s="69">
        <f t="shared" si="22"/>
        <v>0</v>
      </c>
      <c r="LE33" s="69">
        <f t="shared" si="22"/>
        <v>0</v>
      </c>
      <c r="LF33" s="69">
        <f t="shared" ref="LF33:MW33" si="23">LF34+LF35+LF36</f>
        <v>2395494.3999999999</v>
      </c>
      <c r="LG33" s="69">
        <f t="shared" si="23"/>
        <v>43.4</v>
      </c>
      <c r="LH33" s="69">
        <f t="shared" si="23"/>
        <v>0</v>
      </c>
      <c r="LI33" s="69">
        <f t="shared" si="23"/>
        <v>0</v>
      </c>
      <c r="LJ33" s="69">
        <f t="shared" si="23"/>
        <v>0</v>
      </c>
      <c r="LK33" s="69">
        <f t="shared" si="23"/>
        <v>11.8</v>
      </c>
      <c r="LL33" s="69">
        <f t="shared" si="23"/>
        <v>0</v>
      </c>
      <c r="LM33" s="69">
        <f t="shared" si="23"/>
        <v>0</v>
      </c>
      <c r="LN33" s="69">
        <f t="shared" si="23"/>
        <v>0</v>
      </c>
      <c r="LO33" s="69">
        <f t="shared" si="23"/>
        <v>0</v>
      </c>
      <c r="LP33" s="69">
        <f t="shared" si="23"/>
        <v>0</v>
      </c>
      <c r="LQ33" s="69">
        <f t="shared" si="23"/>
        <v>0</v>
      </c>
      <c r="LR33" s="69">
        <f t="shared" si="23"/>
        <v>0</v>
      </c>
      <c r="LS33" s="69">
        <f t="shared" si="23"/>
        <v>0</v>
      </c>
      <c r="LT33" s="69">
        <f t="shared" si="23"/>
        <v>0</v>
      </c>
      <c r="LU33" s="69">
        <f t="shared" si="23"/>
        <v>0</v>
      </c>
      <c r="LV33" s="69">
        <f t="shared" si="23"/>
        <v>0</v>
      </c>
      <c r="LW33" s="69">
        <f t="shared" si="23"/>
        <v>0</v>
      </c>
      <c r="LX33" s="69">
        <f t="shared" si="23"/>
        <v>45</v>
      </c>
      <c r="LY33" s="69">
        <f t="shared" si="23"/>
        <v>0</v>
      </c>
      <c r="LZ33" s="69">
        <f t="shared" si="23"/>
        <v>0</v>
      </c>
      <c r="MA33" s="69">
        <f t="shared" si="23"/>
        <v>0</v>
      </c>
      <c r="MB33" s="69">
        <f t="shared" si="23"/>
        <v>0</v>
      </c>
      <c r="MC33" s="69">
        <f t="shared" si="23"/>
        <v>0</v>
      </c>
      <c r="MD33" s="69">
        <f t="shared" si="23"/>
        <v>0</v>
      </c>
      <c r="ME33" s="69">
        <f t="shared" si="23"/>
        <v>258</v>
      </c>
      <c r="MF33" s="69">
        <f t="shared" si="23"/>
        <v>0</v>
      </c>
      <c r="MG33" s="69">
        <f t="shared" si="23"/>
        <v>0</v>
      </c>
      <c r="MH33" s="69">
        <f t="shared" si="23"/>
        <v>0</v>
      </c>
      <c r="MI33" s="69">
        <f t="shared" si="23"/>
        <v>65.2</v>
      </c>
      <c r="MJ33" s="69">
        <f t="shared" si="23"/>
        <v>0</v>
      </c>
      <c r="MK33" s="69">
        <f t="shared" si="23"/>
        <v>7</v>
      </c>
      <c r="ML33" s="69">
        <f t="shared" si="23"/>
        <v>3676348.4</v>
      </c>
      <c r="MM33" s="69">
        <f t="shared" si="23"/>
        <v>7</v>
      </c>
      <c r="MN33" s="69">
        <f t="shared" si="23"/>
        <v>0</v>
      </c>
      <c r="MO33" s="69">
        <f t="shared" si="23"/>
        <v>0</v>
      </c>
      <c r="MP33" s="69">
        <f t="shared" si="23"/>
        <v>0</v>
      </c>
      <c r="MQ33" s="69">
        <f t="shared" si="23"/>
        <v>7</v>
      </c>
      <c r="MR33" s="69">
        <f t="shared" si="23"/>
        <v>0</v>
      </c>
      <c r="MS33" s="69">
        <f t="shared" si="23"/>
        <v>0</v>
      </c>
      <c r="MT33" s="69">
        <f t="shared" si="23"/>
        <v>0</v>
      </c>
      <c r="MU33" s="69">
        <f t="shared" si="23"/>
        <v>7</v>
      </c>
      <c r="MV33" s="69">
        <f t="shared" si="23"/>
        <v>0</v>
      </c>
      <c r="MW33" s="69">
        <f t="shared" si="23"/>
        <v>15.2</v>
      </c>
      <c r="MX33" s="54"/>
      <c r="MY33" s="54"/>
      <c r="MZ33" s="3"/>
      <c r="NA33" s="3"/>
    </row>
    <row r="34" spans="1:365" ht="42.75" x14ac:dyDescent="0.2">
      <c r="A34" s="55" t="s">
        <v>28</v>
      </c>
      <c r="B34" s="55"/>
      <c r="C34" s="56">
        <f t="shared" si="11"/>
        <v>437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>
        <v>300</v>
      </c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>
        <v>137</v>
      </c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14"/>
      <c r="MY34" s="14"/>
      <c r="MZ34" s="2"/>
      <c r="NA34" s="2"/>
    </row>
    <row r="35" spans="1:365" ht="28.5" x14ac:dyDescent="0.2">
      <c r="A35" s="55" t="s">
        <v>29</v>
      </c>
      <c r="B35" s="55"/>
      <c r="C35" s="56">
        <f t="shared" si="11"/>
        <v>10903.6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>
        <v>3781.5</v>
      </c>
      <c r="EX35" s="70"/>
      <c r="EY35" s="70"/>
      <c r="EZ35" s="70"/>
      <c r="FA35" s="70"/>
      <c r="FB35" s="70"/>
      <c r="FC35" s="70">
        <v>6807.1</v>
      </c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>
        <v>315</v>
      </c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70"/>
      <c r="IX35" s="70"/>
      <c r="IY35" s="70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70"/>
      <c r="KD35" s="70"/>
      <c r="KE35" s="70"/>
      <c r="KF35" s="70"/>
      <c r="KG35" s="70"/>
      <c r="KH35" s="70"/>
      <c r="KI35" s="70"/>
      <c r="KJ35" s="70"/>
      <c r="KK35" s="70"/>
      <c r="KL35" s="70"/>
      <c r="KM35" s="70"/>
      <c r="KN35" s="70"/>
      <c r="KO35" s="70"/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14"/>
      <c r="MY35" s="14"/>
      <c r="MZ35" s="2"/>
      <c r="NA35" s="2"/>
    </row>
    <row r="36" spans="1:365" ht="15" x14ac:dyDescent="0.25">
      <c r="A36" s="71" t="s">
        <v>48</v>
      </c>
      <c r="B36" s="71"/>
      <c r="C36" s="56">
        <f t="shared" si="11"/>
        <v>10006883.5</v>
      </c>
      <c r="D36" s="72"/>
      <c r="E36" s="72"/>
      <c r="F36" s="72"/>
      <c r="G36" s="72"/>
      <c r="H36" s="72"/>
      <c r="I36" s="72"/>
      <c r="J36" s="72"/>
      <c r="K36" s="72">
        <v>52</v>
      </c>
      <c r="L36" s="72"/>
      <c r="M36" s="72">
        <v>12</v>
      </c>
      <c r="N36" s="72">
        <v>296.2</v>
      </c>
      <c r="O36" s="72">
        <v>3506.8</v>
      </c>
      <c r="P36" s="72"/>
      <c r="Q36" s="72"/>
      <c r="R36" s="72"/>
      <c r="S36" s="72"/>
      <c r="T36" s="72"/>
      <c r="U36" s="72">
        <v>18</v>
      </c>
      <c r="V36" s="72">
        <v>539.79999999999995</v>
      </c>
      <c r="W36" s="72"/>
      <c r="X36" s="72"/>
      <c r="Y36" s="72">
        <v>158.6</v>
      </c>
      <c r="Z36" s="72"/>
      <c r="AA36" s="72"/>
      <c r="AB36" s="72"/>
      <c r="AC36" s="72"/>
      <c r="AD36" s="72"/>
      <c r="AE36" s="72">
        <v>55.2</v>
      </c>
      <c r="AF36" s="72"/>
      <c r="AG36" s="72">
        <v>401.6</v>
      </c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>
        <v>4753.1000000000004</v>
      </c>
      <c r="AS36" s="72">
        <v>1229.3</v>
      </c>
      <c r="AT36" s="72">
        <v>7</v>
      </c>
      <c r="AU36" s="72"/>
      <c r="AV36" s="72">
        <v>7</v>
      </c>
      <c r="AW36" s="72">
        <v>8</v>
      </c>
      <c r="AX36" s="72">
        <v>1822.7</v>
      </c>
      <c r="AY36" s="72"/>
      <c r="AZ36" s="72"/>
      <c r="BA36" s="72">
        <v>21</v>
      </c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>
        <v>33</v>
      </c>
      <c r="BM36" s="72">
        <v>572</v>
      </c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>
        <v>7</v>
      </c>
      <c r="CI36" s="72"/>
      <c r="CJ36" s="72">
        <v>1150.5999999999999</v>
      </c>
      <c r="CK36" s="72"/>
      <c r="CL36" s="72">
        <v>114.6</v>
      </c>
      <c r="CM36" s="72">
        <v>2711487.9</v>
      </c>
      <c r="CN36" s="72"/>
      <c r="CO36" s="72"/>
      <c r="CP36" s="72">
        <v>95.4</v>
      </c>
      <c r="CQ36" s="72"/>
      <c r="CR36" s="72"/>
      <c r="CS36" s="72">
        <v>133.80000000000001</v>
      </c>
      <c r="CT36" s="72"/>
      <c r="CU36" s="72">
        <v>18.2</v>
      </c>
      <c r="CV36" s="72"/>
      <c r="CW36" s="72">
        <v>149</v>
      </c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>
        <v>10</v>
      </c>
      <c r="DM36" s="72"/>
      <c r="DN36" s="72"/>
      <c r="DO36" s="72"/>
      <c r="DP36" s="72">
        <v>83.3</v>
      </c>
      <c r="DQ36" s="72">
        <v>1106</v>
      </c>
      <c r="DR36" s="72"/>
      <c r="DS36" s="72">
        <v>23</v>
      </c>
      <c r="DT36" s="72">
        <v>43.6</v>
      </c>
      <c r="DU36" s="72"/>
      <c r="DV36" s="72"/>
      <c r="DW36" s="72"/>
      <c r="DX36" s="72"/>
      <c r="DY36" s="72"/>
      <c r="DZ36" s="72">
        <v>15.2</v>
      </c>
      <c r="EA36" s="72"/>
      <c r="EB36" s="72">
        <v>35.6</v>
      </c>
      <c r="EC36" s="72"/>
      <c r="ED36" s="72"/>
      <c r="EE36" s="72"/>
      <c r="EF36" s="72">
        <v>213</v>
      </c>
      <c r="EG36" s="72"/>
      <c r="EH36" s="72"/>
      <c r="EI36" s="72">
        <v>17.8</v>
      </c>
      <c r="EJ36" s="72"/>
      <c r="EK36" s="72"/>
      <c r="EL36" s="72">
        <v>15.2</v>
      </c>
      <c r="EM36" s="72"/>
      <c r="EN36" s="72">
        <v>2334</v>
      </c>
      <c r="EO36" s="72"/>
      <c r="EP36" s="72">
        <v>140.19999999999999</v>
      </c>
      <c r="EQ36" s="72"/>
      <c r="ER36" s="72"/>
      <c r="ES36" s="72"/>
      <c r="ET36" s="72"/>
      <c r="EU36" s="72"/>
      <c r="EV36" s="72"/>
      <c r="EW36" s="72">
        <v>340.8</v>
      </c>
      <c r="EX36" s="72"/>
      <c r="EY36" s="72">
        <v>51.4</v>
      </c>
      <c r="EZ36" s="72"/>
      <c r="FA36" s="72">
        <v>90.2</v>
      </c>
      <c r="FB36" s="72"/>
      <c r="FC36" s="72">
        <v>1630.2</v>
      </c>
      <c r="FD36" s="72"/>
      <c r="FE36" s="72"/>
      <c r="FF36" s="72"/>
      <c r="FG36" s="72"/>
      <c r="FH36" s="72"/>
      <c r="FI36" s="72"/>
      <c r="FJ36" s="72"/>
      <c r="FK36" s="72">
        <v>190.2</v>
      </c>
      <c r="FL36" s="72">
        <v>5</v>
      </c>
      <c r="FM36" s="72">
        <v>1120.5999999999999</v>
      </c>
      <c r="FN36" s="72"/>
      <c r="FO36" s="72"/>
      <c r="FP36" s="72"/>
      <c r="FQ36" s="72">
        <v>8288.4</v>
      </c>
      <c r="FR36" s="72">
        <v>20782.400000000001</v>
      </c>
      <c r="FS36" s="72">
        <v>111.2</v>
      </c>
      <c r="FT36" s="72">
        <v>1164921.8999999999</v>
      </c>
      <c r="FU36" s="72">
        <v>59</v>
      </c>
      <c r="FV36" s="72">
        <v>62.8</v>
      </c>
      <c r="FW36" s="72"/>
      <c r="FX36" s="72">
        <v>70.599999999999994</v>
      </c>
      <c r="FY36" s="72"/>
      <c r="FZ36" s="72"/>
      <c r="GA36" s="72">
        <v>29.6</v>
      </c>
      <c r="GB36" s="72"/>
      <c r="GC36" s="72"/>
      <c r="GD36" s="72">
        <v>2180.4</v>
      </c>
      <c r="GE36" s="72"/>
      <c r="GF36" s="72"/>
      <c r="GG36" s="72"/>
      <c r="GH36" s="72">
        <v>15.4</v>
      </c>
      <c r="GI36" s="72">
        <v>2185</v>
      </c>
      <c r="GJ36" s="72"/>
      <c r="GK36" s="72"/>
      <c r="GL36" s="72"/>
      <c r="GM36" s="72"/>
      <c r="GN36" s="72">
        <v>98.4</v>
      </c>
      <c r="GO36" s="72"/>
      <c r="GP36" s="72"/>
      <c r="GQ36" s="72">
        <v>21</v>
      </c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>
        <v>67.900000000000006</v>
      </c>
      <c r="HO36" s="72"/>
      <c r="HP36" s="72"/>
      <c r="HQ36" s="72"/>
      <c r="HR36" s="72"/>
      <c r="HS36" s="72">
        <v>267.60000000000002</v>
      </c>
      <c r="HT36" s="72"/>
      <c r="HU36" s="72"/>
      <c r="HV36" s="72"/>
      <c r="HW36" s="72"/>
      <c r="HX36" s="72"/>
      <c r="HY36" s="72"/>
      <c r="HZ36" s="72"/>
      <c r="IA36" s="72"/>
      <c r="IB36" s="72">
        <v>90.8</v>
      </c>
      <c r="IC36" s="72"/>
      <c r="ID36" s="72">
        <v>320</v>
      </c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>
        <v>7</v>
      </c>
      <c r="IV36" s="72"/>
      <c r="IW36" s="72"/>
      <c r="IX36" s="72"/>
      <c r="IY36" s="72"/>
      <c r="IZ36" s="72"/>
      <c r="JA36" s="72">
        <v>39.6</v>
      </c>
      <c r="JB36" s="72"/>
      <c r="JC36" s="72"/>
      <c r="JD36" s="72"/>
      <c r="JE36" s="72"/>
      <c r="JF36" s="72"/>
      <c r="JG36" s="72"/>
      <c r="JH36" s="72"/>
      <c r="JI36" s="72"/>
      <c r="JJ36" s="72"/>
      <c r="JK36" s="72"/>
      <c r="JL36" s="72"/>
      <c r="JM36" s="72"/>
      <c r="JN36" s="72"/>
      <c r="JO36" s="72">
        <v>691.8</v>
      </c>
      <c r="JP36" s="72"/>
      <c r="JQ36" s="72"/>
      <c r="JR36" s="72"/>
      <c r="JS36" s="72"/>
      <c r="JT36" s="72"/>
      <c r="JU36" s="72"/>
      <c r="JV36" s="72">
        <v>25</v>
      </c>
      <c r="JW36" s="72"/>
      <c r="JX36" s="72"/>
      <c r="JY36" s="72"/>
      <c r="JZ36" s="72"/>
      <c r="KA36" s="72">
        <v>8.1999999999999993</v>
      </c>
      <c r="KB36" s="72"/>
      <c r="KC36" s="72">
        <v>15</v>
      </c>
      <c r="KD36" s="72"/>
      <c r="KE36" s="72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>
        <v>100</v>
      </c>
      <c r="KS36" s="72"/>
      <c r="KT36" s="72"/>
      <c r="KU36" s="72"/>
      <c r="KV36" s="72"/>
      <c r="KW36" s="72"/>
      <c r="KX36" s="72"/>
      <c r="KY36" s="72"/>
      <c r="KZ36" s="72"/>
      <c r="LA36" s="72"/>
      <c r="LB36" s="72"/>
      <c r="LC36" s="72"/>
      <c r="LD36" s="72"/>
      <c r="LE36" s="72"/>
      <c r="LF36" s="72">
        <v>2395494.3999999999</v>
      </c>
      <c r="LG36" s="72">
        <v>43.4</v>
      </c>
      <c r="LH36" s="72"/>
      <c r="LI36" s="72"/>
      <c r="LJ36" s="72"/>
      <c r="LK36" s="72">
        <v>11.8</v>
      </c>
      <c r="LL36" s="72"/>
      <c r="LM36" s="72"/>
      <c r="LN36" s="72"/>
      <c r="LO36" s="72"/>
      <c r="LP36" s="72"/>
      <c r="LQ36" s="72"/>
      <c r="LR36" s="72"/>
      <c r="LS36" s="72"/>
      <c r="LT36" s="72"/>
      <c r="LU36" s="72"/>
      <c r="LV36" s="72"/>
      <c r="LW36" s="72"/>
      <c r="LX36" s="72">
        <v>45</v>
      </c>
      <c r="LY36" s="72"/>
      <c r="LZ36" s="72"/>
      <c r="MA36" s="72"/>
      <c r="MB36" s="72"/>
      <c r="MC36" s="72"/>
      <c r="MD36" s="72"/>
      <c r="ME36" s="72">
        <v>258</v>
      </c>
      <c r="MF36" s="72"/>
      <c r="MG36" s="72"/>
      <c r="MH36" s="72"/>
      <c r="MI36" s="72">
        <v>65.2</v>
      </c>
      <c r="MJ36" s="72"/>
      <c r="MK36" s="72">
        <v>7</v>
      </c>
      <c r="ML36" s="72">
        <v>3676348.4</v>
      </c>
      <c r="MM36" s="72">
        <v>7</v>
      </c>
      <c r="MN36" s="72"/>
      <c r="MO36" s="72"/>
      <c r="MP36" s="72"/>
      <c r="MQ36" s="72">
        <v>7</v>
      </c>
      <c r="MR36" s="72"/>
      <c r="MS36" s="72"/>
      <c r="MT36" s="72"/>
      <c r="MU36" s="72">
        <v>7</v>
      </c>
      <c r="MV36" s="72"/>
      <c r="MW36" s="72">
        <v>15.2</v>
      </c>
      <c r="MX36" s="10"/>
      <c r="MY36" s="10"/>
      <c r="MZ36" s="10"/>
      <c r="NA36" s="10"/>
    </row>
    <row r="37" spans="1:365" ht="14.25" x14ac:dyDescent="0.2">
      <c r="A37" s="50" t="s">
        <v>30</v>
      </c>
      <c r="B37" s="61" t="s">
        <v>31</v>
      </c>
      <c r="C37" s="56">
        <f t="shared" si="11"/>
        <v>9035832.5</v>
      </c>
      <c r="D37" s="69">
        <f>D38+D39</f>
        <v>0</v>
      </c>
      <c r="E37" s="69">
        <f t="shared" ref="E37:BP37" si="24">E38+E39</f>
        <v>0</v>
      </c>
      <c r="F37" s="69">
        <f t="shared" si="24"/>
        <v>0</v>
      </c>
      <c r="G37" s="69">
        <f t="shared" si="24"/>
        <v>0</v>
      </c>
      <c r="H37" s="69">
        <f t="shared" si="24"/>
        <v>0</v>
      </c>
      <c r="I37" s="69">
        <f t="shared" si="24"/>
        <v>0</v>
      </c>
      <c r="J37" s="69">
        <f t="shared" si="24"/>
        <v>0</v>
      </c>
      <c r="K37" s="69">
        <f t="shared" si="24"/>
        <v>0</v>
      </c>
      <c r="L37" s="69">
        <f t="shared" si="24"/>
        <v>0</v>
      </c>
      <c r="M37" s="69">
        <f t="shared" si="24"/>
        <v>0</v>
      </c>
      <c r="N37" s="69">
        <f t="shared" si="24"/>
        <v>0</v>
      </c>
      <c r="O37" s="69">
        <f t="shared" si="24"/>
        <v>0</v>
      </c>
      <c r="P37" s="69">
        <f t="shared" si="24"/>
        <v>0</v>
      </c>
      <c r="Q37" s="69">
        <f t="shared" si="24"/>
        <v>0</v>
      </c>
      <c r="R37" s="69">
        <f t="shared" si="24"/>
        <v>0</v>
      </c>
      <c r="S37" s="69">
        <f t="shared" si="24"/>
        <v>0</v>
      </c>
      <c r="T37" s="69">
        <f t="shared" si="24"/>
        <v>0</v>
      </c>
      <c r="U37" s="69">
        <f t="shared" si="24"/>
        <v>0</v>
      </c>
      <c r="V37" s="69">
        <f t="shared" si="24"/>
        <v>0</v>
      </c>
      <c r="W37" s="69">
        <f t="shared" si="24"/>
        <v>0</v>
      </c>
      <c r="X37" s="69">
        <f t="shared" si="24"/>
        <v>0</v>
      </c>
      <c r="Y37" s="69">
        <f t="shared" si="24"/>
        <v>0</v>
      </c>
      <c r="Z37" s="69">
        <f t="shared" si="24"/>
        <v>0</v>
      </c>
      <c r="AA37" s="69">
        <f t="shared" si="24"/>
        <v>0</v>
      </c>
      <c r="AB37" s="69">
        <f t="shared" si="24"/>
        <v>0</v>
      </c>
      <c r="AC37" s="69">
        <f t="shared" si="24"/>
        <v>0</v>
      </c>
      <c r="AD37" s="69">
        <f t="shared" si="24"/>
        <v>0</v>
      </c>
      <c r="AE37" s="69">
        <f t="shared" si="24"/>
        <v>0</v>
      </c>
      <c r="AF37" s="69">
        <f t="shared" si="24"/>
        <v>0</v>
      </c>
      <c r="AG37" s="69">
        <f t="shared" si="24"/>
        <v>0</v>
      </c>
      <c r="AH37" s="69">
        <f t="shared" si="24"/>
        <v>0</v>
      </c>
      <c r="AI37" s="69">
        <f t="shared" si="24"/>
        <v>0</v>
      </c>
      <c r="AJ37" s="69">
        <f t="shared" si="24"/>
        <v>0</v>
      </c>
      <c r="AK37" s="69">
        <f t="shared" si="24"/>
        <v>0</v>
      </c>
      <c r="AL37" s="69">
        <f t="shared" si="24"/>
        <v>0</v>
      </c>
      <c r="AM37" s="69">
        <f t="shared" si="24"/>
        <v>0</v>
      </c>
      <c r="AN37" s="69">
        <f t="shared" si="24"/>
        <v>0</v>
      </c>
      <c r="AO37" s="69">
        <f t="shared" si="24"/>
        <v>0</v>
      </c>
      <c r="AP37" s="69">
        <f t="shared" si="24"/>
        <v>0</v>
      </c>
      <c r="AQ37" s="69">
        <f t="shared" si="24"/>
        <v>0</v>
      </c>
      <c r="AR37" s="69">
        <f t="shared" si="24"/>
        <v>0</v>
      </c>
      <c r="AS37" s="69">
        <f t="shared" si="24"/>
        <v>0</v>
      </c>
      <c r="AT37" s="69">
        <f t="shared" si="24"/>
        <v>0</v>
      </c>
      <c r="AU37" s="69">
        <f t="shared" si="24"/>
        <v>0</v>
      </c>
      <c r="AV37" s="69">
        <f t="shared" si="24"/>
        <v>0</v>
      </c>
      <c r="AW37" s="69">
        <f t="shared" si="24"/>
        <v>0</v>
      </c>
      <c r="AX37" s="69">
        <f t="shared" si="24"/>
        <v>0</v>
      </c>
      <c r="AY37" s="69">
        <f t="shared" si="24"/>
        <v>0</v>
      </c>
      <c r="AZ37" s="69">
        <f t="shared" si="24"/>
        <v>0</v>
      </c>
      <c r="BA37" s="69">
        <f t="shared" si="24"/>
        <v>0</v>
      </c>
      <c r="BB37" s="69">
        <f t="shared" si="24"/>
        <v>0</v>
      </c>
      <c r="BC37" s="69">
        <f t="shared" si="24"/>
        <v>0</v>
      </c>
      <c r="BD37" s="69">
        <f t="shared" si="24"/>
        <v>0</v>
      </c>
      <c r="BE37" s="69">
        <f t="shared" si="24"/>
        <v>0</v>
      </c>
      <c r="BF37" s="69">
        <f t="shared" si="24"/>
        <v>0</v>
      </c>
      <c r="BG37" s="69">
        <f t="shared" si="24"/>
        <v>0</v>
      </c>
      <c r="BH37" s="69">
        <f t="shared" si="24"/>
        <v>0</v>
      </c>
      <c r="BI37" s="69">
        <f t="shared" si="24"/>
        <v>0</v>
      </c>
      <c r="BJ37" s="69">
        <f t="shared" si="24"/>
        <v>0</v>
      </c>
      <c r="BK37" s="69">
        <f t="shared" si="24"/>
        <v>0</v>
      </c>
      <c r="BL37" s="69">
        <f t="shared" si="24"/>
        <v>0</v>
      </c>
      <c r="BM37" s="69">
        <f t="shared" si="24"/>
        <v>0</v>
      </c>
      <c r="BN37" s="69">
        <f t="shared" si="24"/>
        <v>0</v>
      </c>
      <c r="BO37" s="69">
        <f t="shared" si="24"/>
        <v>0</v>
      </c>
      <c r="BP37" s="69">
        <f t="shared" si="24"/>
        <v>0</v>
      </c>
      <c r="BQ37" s="69">
        <f t="shared" ref="BQ37:EB37" si="25">BQ38+BQ39</f>
        <v>0</v>
      </c>
      <c r="BR37" s="69">
        <f t="shared" si="25"/>
        <v>0</v>
      </c>
      <c r="BS37" s="69">
        <f t="shared" si="25"/>
        <v>0</v>
      </c>
      <c r="BT37" s="69">
        <f t="shared" si="25"/>
        <v>0</v>
      </c>
      <c r="BU37" s="69">
        <f t="shared" si="25"/>
        <v>0</v>
      </c>
      <c r="BV37" s="69">
        <f t="shared" si="25"/>
        <v>0</v>
      </c>
      <c r="BW37" s="69">
        <f t="shared" si="25"/>
        <v>0</v>
      </c>
      <c r="BX37" s="69">
        <f t="shared" si="25"/>
        <v>0</v>
      </c>
      <c r="BY37" s="69">
        <f t="shared" si="25"/>
        <v>0</v>
      </c>
      <c r="BZ37" s="69">
        <f t="shared" si="25"/>
        <v>0</v>
      </c>
      <c r="CA37" s="69">
        <f t="shared" si="25"/>
        <v>0</v>
      </c>
      <c r="CB37" s="69">
        <f t="shared" si="25"/>
        <v>0</v>
      </c>
      <c r="CC37" s="69">
        <f t="shared" si="25"/>
        <v>0</v>
      </c>
      <c r="CD37" s="69">
        <f t="shared" si="25"/>
        <v>0</v>
      </c>
      <c r="CE37" s="69">
        <f t="shared" si="25"/>
        <v>0</v>
      </c>
      <c r="CF37" s="69">
        <f t="shared" si="25"/>
        <v>0</v>
      </c>
      <c r="CG37" s="69">
        <f t="shared" si="25"/>
        <v>0</v>
      </c>
      <c r="CH37" s="69">
        <f t="shared" si="25"/>
        <v>0</v>
      </c>
      <c r="CI37" s="69">
        <f t="shared" si="25"/>
        <v>0</v>
      </c>
      <c r="CJ37" s="69">
        <f t="shared" si="25"/>
        <v>0</v>
      </c>
      <c r="CK37" s="69">
        <f t="shared" si="25"/>
        <v>0</v>
      </c>
      <c r="CL37" s="69">
        <f t="shared" si="25"/>
        <v>0</v>
      </c>
      <c r="CM37" s="69">
        <f t="shared" si="25"/>
        <v>0</v>
      </c>
      <c r="CN37" s="69">
        <f t="shared" si="25"/>
        <v>0</v>
      </c>
      <c r="CO37" s="69">
        <f t="shared" si="25"/>
        <v>0</v>
      </c>
      <c r="CP37" s="69">
        <f t="shared" si="25"/>
        <v>0</v>
      </c>
      <c r="CQ37" s="69">
        <f t="shared" si="25"/>
        <v>0</v>
      </c>
      <c r="CR37" s="69">
        <f t="shared" si="25"/>
        <v>0</v>
      </c>
      <c r="CS37" s="69">
        <f t="shared" si="25"/>
        <v>0</v>
      </c>
      <c r="CT37" s="69">
        <f t="shared" si="25"/>
        <v>0</v>
      </c>
      <c r="CU37" s="69">
        <f t="shared" si="25"/>
        <v>0</v>
      </c>
      <c r="CV37" s="69">
        <f t="shared" si="25"/>
        <v>0</v>
      </c>
      <c r="CW37" s="69">
        <f t="shared" si="25"/>
        <v>0</v>
      </c>
      <c r="CX37" s="69">
        <f t="shared" si="25"/>
        <v>0</v>
      </c>
      <c r="CY37" s="69">
        <f t="shared" si="25"/>
        <v>0</v>
      </c>
      <c r="CZ37" s="69">
        <f t="shared" si="25"/>
        <v>0</v>
      </c>
      <c r="DA37" s="69">
        <f t="shared" si="25"/>
        <v>0</v>
      </c>
      <c r="DB37" s="69">
        <f t="shared" si="25"/>
        <v>0</v>
      </c>
      <c r="DC37" s="69">
        <f t="shared" si="25"/>
        <v>0</v>
      </c>
      <c r="DD37" s="69">
        <f t="shared" si="25"/>
        <v>0</v>
      </c>
      <c r="DE37" s="69">
        <f t="shared" si="25"/>
        <v>0</v>
      </c>
      <c r="DF37" s="69">
        <f t="shared" si="25"/>
        <v>0</v>
      </c>
      <c r="DG37" s="69">
        <f t="shared" si="25"/>
        <v>0</v>
      </c>
      <c r="DH37" s="69">
        <f t="shared" si="25"/>
        <v>0</v>
      </c>
      <c r="DI37" s="69">
        <f t="shared" si="25"/>
        <v>0</v>
      </c>
      <c r="DJ37" s="69">
        <f t="shared" si="25"/>
        <v>0</v>
      </c>
      <c r="DK37" s="69">
        <f t="shared" si="25"/>
        <v>0</v>
      </c>
      <c r="DL37" s="69">
        <f t="shared" si="25"/>
        <v>0</v>
      </c>
      <c r="DM37" s="69">
        <f t="shared" si="25"/>
        <v>0</v>
      </c>
      <c r="DN37" s="69">
        <f t="shared" si="25"/>
        <v>0</v>
      </c>
      <c r="DO37" s="69">
        <f t="shared" si="25"/>
        <v>0</v>
      </c>
      <c r="DP37" s="69">
        <f t="shared" si="25"/>
        <v>0</v>
      </c>
      <c r="DQ37" s="69">
        <f t="shared" si="25"/>
        <v>0</v>
      </c>
      <c r="DR37" s="69">
        <f t="shared" si="25"/>
        <v>0</v>
      </c>
      <c r="DS37" s="69">
        <f t="shared" si="25"/>
        <v>0</v>
      </c>
      <c r="DT37" s="69">
        <f t="shared" si="25"/>
        <v>0</v>
      </c>
      <c r="DU37" s="69">
        <f t="shared" si="25"/>
        <v>0</v>
      </c>
      <c r="DV37" s="69">
        <f t="shared" si="25"/>
        <v>0</v>
      </c>
      <c r="DW37" s="69">
        <f t="shared" si="25"/>
        <v>0</v>
      </c>
      <c r="DX37" s="69">
        <f t="shared" si="25"/>
        <v>0</v>
      </c>
      <c r="DY37" s="69">
        <f t="shared" si="25"/>
        <v>0</v>
      </c>
      <c r="DZ37" s="69">
        <f t="shared" si="25"/>
        <v>0</v>
      </c>
      <c r="EA37" s="69">
        <f t="shared" si="25"/>
        <v>0</v>
      </c>
      <c r="EB37" s="69">
        <f t="shared" si="25"/>
        <v>0</v>
      </c>
      <c r="EC37" s="69">
        <f t="shared" ref="EC37:GD37" si="26">EC38+EC39</f>
        <v>0</v>
      </c>
      <c r="ED37" s="69">
        <f t="shared" si="26"/>
        <v>0</v>
      </c>
      <c r="EE37" s="69">
        <f t="shared" si="26"/>
        <v>0</v>
      </c>
      <c r="EF37" s="69">
        <f t="shared" si="26"/>
        <v>0</v>
      </c>
      <c r="EG37" s="69">
        <f t="shared" si="26"/>
        <v>0</v>
      </c>
      <c r="EH37" s="69">
        <f t="shared" si="26"/>
        <v>0</v>
      </c>
      <c r="EI37" s="69">
        <f t="shared" si="26"/>
        <v>0</v>
      </c>
      <c r="EJ37" s="69">
        <f t="shared" si="26"/>
        <v>0</v>
      </c>
      <c r="EK37" s="69">
        <f t="shared" si="26"/>
        <v>0</v>
      </c>
      <c r="EL37" s="69">
        <f t="shared" si="26"/>
        <v>0</v>
      </c>
      <c r="EM37" s="69">
        <f t="shared" si="26"/>
        <v>0</v>
      </c>
      <c r="EN37" s="69">
        <f t="shared" si="26"/>
        <v>0</v>
      </c>
      <c r="EO37" s="69">
        <f t="shared" si="26"/>
        <v>0</v>
      </c>
      <c r="EP37" s="69">
        <f t="shared" si="26"/>
        <v>0</v>
      </c>
      <c r="EQ37" s="69">
        <f t="shared" si="26"/>
        <v>0</v>
      </c>
      <c r="ER37" s="69">
        <f t="shared" si="26"/>
        <v>0</v>
      </c>
      <c r="ES37" s="69">
        <f t="shared" si="26"/>
        <v>0</v>
      </c>
      <c r="ET37" s="69">
        <f t="shared" si="26"/>
        <v>0</v>
      </c>
      <c r="EU37" s="69">
        <f t="shared" si="26"/>
        <v>0</v>
      </c>
      <c r="EV37" s="69">
        <f t="shared" si="26"/>
        <v>0</v>
      </c>
      <c r="EW37" s="69">
        <f t="shared" si="26"/>
        <v>0</v>
      </c>
      <c r="EX37" s="69">
        <f t="shared" si="26"/>
        <v>0</v>
      </c>
      <c r="EY37" s="69">
        <f t="shared" si="26"/>
        <v>0</v>
      </c>
      <c r="EZ37" s="69">
        <f t="shared" si="26"/>
        <v>0</v>
      </c>
      <c r="FA37" s="69">
        <f t="shared" si="26"/>
        <v>0</v>
      </c>
      <c r="FB37" s="69">
        <f t="shared" si="26"/>
        <v>0</v>
      </c>
      <c r="FC37" s="69">
        <f t="shared" si="26"/>
        <v>0</v>
      </c>
      <c r="FD37" s="69">
        <f t="shared" si="26"/>
        <v>0</v>
      </c>
      <c r="FE37" s="69">
        <f t="shared" si="26"/>
        <v>0</v>
      </c>
      <c r="FF37" s="69">
        <f t="shared" si="26"/>
        <v>0</v>
      </c>
      <c r="FG37" s="69">
        <f t="shared" si="26"/>
        <v>0</v>
      </c>
      <c r="FH37" s="69">
        <f t="shared" si="26"/>
        <v>0</v>
      </c>
      <c r="FI37" s="69">
        <f t="shared" si="26"/>
        <v>0</v>
      </c>
      <c r="FJ37" s="69">
        <f t="shared" si="26"/>
        <v>0</v>
      </c>
      <c r="FK37" s="69">
        <f t="shared" si="26"/>
        <v>0</v>
      </c>
      <c r="FL37" s="69">
        <f t="shared" si="26"/>
        <v>0</v>
      </c>
      <c r="FM37" s="69">
        <f t="shared" si="26"/>
        <v>0</v>
      </c>
      <c r="FN37" s="69">
        <f t="shared" si="26"/>
        <v>0</v>
      </c>
      <c r="FO37" s="69">
        <f t="shared" si="26"/>
        <v>0</v>
      </c>
      <c r="FP37" s="69">
        <f t="shared" si="26"/>
        <v>0</v>
      </c>
      <c r="FQ37" s="69">
        <f t="shared" si="26"/>
        <v>0</v>
      </c>
      <c r="FR37" s="68">
        <f t="shared" si="26"/>
        <v>9035832.5</v>
      </c>
      <c r="FS37" s="69">
        <f t="shared" si="26"/>
        <v>0</v>
      </c>
      <c r="FT37" s="69">
        <f t="shared" si="26"/>
        <v>0</v>
      </c>
      <c r="FU37" s="69">
        <f t="shared" si="26"/>
        <v>0</v>
      </c>
      <c r="FV37" s="69">
        <f t="shared" si="26"/>
        <v>0</v>
      </c>
      <c r="FW37" s="69">
        <f t="shared" si="26"/>
        <v>0</v>
      </c>
      <c r="FX37" s="69">
        <f t="shared" si="26"/>
        <v>0</v>
      </c>
      <c r="FY37" s="69">
        <f t="shared" si="26"/>
        <v>0</v>
      </c>
      <c r="FZ37" s="69">
        <f t="shared" si="26"/>
        <v>0</v>
      </c>
      <c r="GA37" s="69">
        <f t="shared" si="26"/>
        <v>0</v>
      </c>
      <c r="GB37" s="69">
        <f t="shared" si="26"/>
        <v>0</v>
      </c>
      <c r="GC37" s="69">
        <f t="shared" si="26"/>
        <v>0</v>
      </c>
      <c r="GD37" s="69">
        <f t="shared" si="26"/>
        <v>0</v>
      </c>
      <c r="GE37" s="69">
        <f>GE38+GE39</f>
        <v>0</v>
      </c>
      <c r="GF37" s="69">
        <f>GF38+GF39</f>
        <v>0</v>
      </c>
      <c r="GG37" s="69">
        <f>GG38+GG39</f>
        <v>0</v>
      </c>
      <c r="GH37" s="69">
        <f t="shared" ref="GH37:IS37" si="27">GH38+GH39</f>
        <v>0</v>
      </c>
      <c r="GI37" s="69">
        <f t="shared" si="27"/>
        <v>0</v>
      </c>
      <c r="GJ37" s="69">
        <f t="shared" si="27"/>
        <v>0</v>
      </c>
      <c r="GK37" s="69">
        <f t="shared" si="27"/>
        <v>0</v>
      </c>
      <c r="GL37" s="69">
        <f t="shared" si="27"/>
        <v>0</v>
      </c>
      <c r="GM37" s="69">
        <f t="shared" si="27"/>
        <v>0</v>
      </c>
      <c r="GN37" s="69">
        <f t="shared" si="27"/>
        <v>0</v>
      </c>
      <c r="GO37" s="69">
        <f t="shared" si="27"/>
        <v>0</v>
      </c>
      <c r="GP37" s="69">
        <f t="shared" si="27"/>
        <v>0</v>
      </c>
      <c r="GQ37" s="69">
        <f t="shared" si="27"/>
        <v>0</v>
      </c>
      <c r="GR37" s="69">
        <f t="shared" si="27"/>
        <v>0</v>
      </c>
      <c r="GS37" s="69">
        <f t="shared" si="27"/>
        <v>0</v>
      </c>
      <c r="GT37" s="69">
        <f t="shared" si="27"/>
        <v>0</v>
      </c>
      <c r="GU37" s="69">
        <f t="shared" si="27"/>
        <v>0</v>
      </c>
      <c r="GV37" s="69">
        <f t="shared" si="27"/>
        <v>0</v>
      </c>
      <c r="GW37" s="69">
        <f t="shared" si="27"/>
        <v>0</v>
      </c>
      <c r="GX37" s="69">
        <f t="shared" si="27"/>
        <v>0</v>
      </c>
      <c r="GY37" s="69">
        <f t="shared" si="27"/>
        <v>0</v>
      </c>
      <c r="GZ37" s="69">
        <f t="shared" si="27"/>
        <v>0</v>
      </c>
      <c r="HA37" s="69">
        <f t="shared" si="27"/>
        <v>0</v>
      </c>
      <c r="HB37" s="69">
        <f t="shared" si="27"/>
        <v>0</v>
      </c>
      <c r="HC37" s="69">
        <f t="shared" si="27"/>
        <v>0</v>
      </c>
      <c r="HD37" s="69">
        <f t="shared" si="27"/>
        <v>0</v>
      </c>
      <c r="HE37" s="69">
        <f t="shared" si="27"/>
        <v>0</v>
      </c>
      <c r="HF37" s="69">
        <f t="shared" si="27"/>
        <v>0</v>
      </c>
      <c r="HG37" s="69">
        <f t="shared" si="27"/>
        <v>0</v>
      </c>
      <c r="HH37" s="69">
        <f t="shared" si="27"/>
        <v>0</v>
      </c>
      <c r="HI37" s="69">
        <f t="shared" si="27"/>
        <v>0</v>
      </c>
      <c r="HJ37" s="69">
        <f t="shared" si="27"/>
        <v>0</v>
      </c>
      <c r="HK37" s="69">
        <f t="shared" si="27"/>
        <v>0</v>
      </c>
      <c r="HL37" s="69">
        <f t="shared" si="27"/>
        <v>0</v>
      </c>
      <c r="HM37" s="69">
        <f t="shared" si="27"/>
        <v>0</v>
      </c>
      <c r="HN37" s="69">
        <f t="shared" si="27"/>
        <v>0</v>
      </c>
      <c r="HO37" s="69">
        <f t="shared" si="27"/>
        <v>0</v>
      </c>
      <c r="HP37" s="69">
        <f t="shared" si="27"/>
        <v>0</v>
      </c>
      <c r="HQ37" s="69">
        <f t="shared" si="27"/>
        <v>0</v>
      </c>
      <c r="HR37" s="69">
        <f t="shared" si="27"/>
        <v>0</v>
      </c>
      <c r="HS37" s="69">
        <f t="shared" si="27"/>
        <v>0</v>
      </c>
      <c r="HT37" s="69">
        <f t="shared" si="27"/>
        <v>0</v>
      </c>
      <c r="HU37" s="69">
        <f t="shared" si="27"/>
        <v>0</v>
      </c>
      <c r="HV37" s="69">
        <f t="shared" si="27"/>
        <v>0</v>
      </c>
      <c r="HW37" s="69">
        <f t="shared" si="27"/>
        <v>0</v>
      </c>
      <c r="HX37" s="69">
        <f t="shared" si="27"/>
        <v>0</v>
      </c>
      <c r="HY37" s="69">
        <f t="shared" si="27"/>
        <v>0</v>
      </c>
      <c r="HZ37" s="69">
        <f t="shared" si="27"/>
        <v>0</v>
      </c>
      <c r="IA37" s="69">
        <f t="shared" si="27"/>
        <v>0</v>
      </c>
      <c r="IB37" s="69">
        <f t="shared" si="27"/>
        <v>0</v>
      </c>
      <c r="IC37" s="69">
        <f t="shared" si="27"/>
        <v>0</v>
      </c>
      <c r="ID37" s="69">
        <f t="shared" si="27"/>
        <v>0</v>
      </c>
      <c r="IE37" s="69">
        <f t="shared" si="27"/>
        <v>0</v>
      </c>
      <c r="IF37" s="69">
        <f t="shared" si="27"/>
        <v>0</v>
      </c>
      <c r="IG37" s="69">
        <f t="shared" si="27"/>
        <v>0</v>
      </c>
      <c r="IH37" s="69">
        <f t="shared" si="27"/>
        <v>0</v>
      </c>
      <c r="II37" s="69">
        <f t="shared" si="27"/>
        <v>0</v>
      </c>
      <c r="IJ37" s="69">
        <f t="shared" si="27"/>
        <v>0</v>
      </c>
      <c r="IK37" s="69">
        <f t="shared" si="27"/>
        <v>0</v>
      </c>
      <c r="IL37" s="69">
        <f t="shared" si="27"/>
        <v>0</v>
      </c>
      <c r="IM37" s="69">
        <f t="shared" si="27"/>
        <v>0</v>
      </c>
      <c r="IN37" s="69">
        <f t="shared" si="27"/>
        <v>0</v>
      </c>
      <c r="IO37" s="69">
        <f t="shared" si="27"/>
        <v>0</v>
      </c>
      <c r="IP37" s="69">
        <f t="shared" si="27"/>
        <v>0</v>
      </c>
      <c r="IQ37" s="69">
        <f t="shared" si="27"/>
        <v>0</v>
      </c>
      <c r="IR37" s="69">
        <f t="shared" si="27"/>
        <v>0</v>
      </c>
      <c r="IS37" s="69">
        <f t="shared" si="27"/>
        <v>0</v>
      </c>
      <c r="IT37" s="69">
        <f t="shared" ref="IT37:LE37" si="28">IT38+IT39</f>
        <v>0</v>
      </c>
      <c r="IU37" s="69">
        <f t="shared" si="28"/>
        <v>0</v>
      </c>
      <c r="IV37" s="69">
        <f t="shared" si="28"/>
        <v>0</v>
      </c>
      <c r="IW37" s="69">
        <f t="shared" si="28"/>
        <v>0</v>
      </c>
      <c r="IX37" s="69">
        <f t="shared" si="28"/>
        <v>0</v>
      </c>
      <c r="IY37" s="69">
        <f t="shared" si="28"/>
        <v>0</v>
      </c>
      <c r="IZ37" s="69">
        <f t="shared" si="28"/>
        <v>0</v>
      </c>
      <c r="JA37" s="69">
        <f t="shared" si="28"/>
        <v>0</v>
      </c>
      <c r="JB37" s="69">
        <f t="shared" si="28"/>
        <v>0</v>
      </c>
      <c r="JC37" s="69">
        <f t="shared" si="28"/>
        <v>0</v>
      </c>
      <c r="JD37" s="69">
        <f t="shared" si="28"/>
        <v>0</v>
      </c>
      <c r="JE37" s="69">
        <f t="shared" si="28"/>
        <v>0</v>
      </c>
      <c r="JF37" s="69">
        <f t="shared" si="28"/>
        <v>0</v>
      </c>
      <c r="JG37" s="69">
        <f t="shared" si="28"/>
        <v>0</v>
      </c>
      <c r="JH37" s="69">
        <f t="shared" si="28"/>
        <v>0</v>
      </c>
      <c r="JI37" s="69">
        <f t="shared" si="28"/>
        <v>0</v>
      </c>
      <c r="JJ37" s="69">
        <f t="shared" si="28"/>
        <v>0</v>
      </c>
      <c r="JK37" s="69">
        <f t="shared" si="28"/>
        <v>0</v>
      </c>
      <c r="JL37" s="69">
        <f t="shared" si="28"/>
        <v>0</v>
      </c>
      <c r="JM37" s="69">
        <f t="shared" si="28"/>
        <v>0</v>
      </c>
      <c r="JN37" s="69">
        <f t="shared" si="28"/>
        <v>0</v>
      </c>
      <c r="JO37" s="69">
        <f t="shared" si="28"/>
        <v>0</v>
      </c>
      <c r="JP37" s="69">
        <f t="shared" si="28"/>
        <v>0</v>
      </c>
      <c r="JQ37" s="69">
        <f t="shared" si="28"/>
        <v>0</v>
      </c>
      <c r="JR37" s="69">
        <f t="shared" si="28"/>
        <v>0</v>
      </c>
      <c r="JS37" s="69">
        <f t="shared" si="28"/>
        <v>0</v>
      </c>
      <c r="JT37" s="69">
        <f t="shared" si="28"/>
        <v>0</v>
      </c>
      <c r="JU37" s="69">
        <f t="shared" si="28"/>
        <v>0</v>
      </c>
      <c r="JV37" s="69">
        <f t="shared" si="28"/>
        <v>0</v>
      </c>
      <c r="JW37" s="69">
        <f t="shared" si="28"/>
        <v>0</v>
      </c>
      <c r="JX37" s="69">
        <f t="shared" si="28"/>
        <v>0</v>
      </c>
      <c r="JY37" s="69">
        <f t="shared" si="28"/>
        <v>0</v>
      </c>
      <c r="JZ37" s="69">
        <f t="shared" si="28"/>
        <v>0</v>
      </c>
      <c r="KA37" s="69">
        <f t="shared" si="28"/>
        <v>0</v>
      </c>
      <c r="KB37" s="69">
        <f t="shared" si="28"/>
        <v>0</v>
      </c>
      <c r="KC37" s="69">
        <f t="shared" si="28"/>
        <v>0</v>
      </c>
      <c r="KD37" s="69">
        <f t="shared" si="28"/>
        <v>0</v>
      </c>
      <c r="KE37" s="69">
        <f t="shared" si="28"/>
        <v>0</v>
      </c>
      <c r="KF37" s="69">
        <f t="shared" si="28"/>
        <v>0</v>
      </c>
      <c r="KG37" s="69">
        <f t="shared" si="28"/>
        <v>0</v>
      </c>
      <c r="KH37" s="69">
        <f t="shared" si="28"/>
        <v>0</v>
      </c>
      <c r="KI37" s="69">
        <f t="shared" si="28"/>
        <v>0</v>
      </c>
      <c r="KJ37" s="69">
        <f t="shared" si="28"/>
        <v>0</v>
      </c>
      <c r="KK37" s="69">
        <f t="shared" si="28"/>
        <v>0</v>
      </c>
      <c r="KL37" s="69">
        <f t="shared" si="28"/>
        <v>0</v>
      </c>
      <c r="KM37" s="69">
        <f t="shared" si="28"/>
        <v>0</v>
      </c>
      <c r="KN37" s="69">
        <f t="shared" si="28"/>
        <v>0</v>
      </c>
      <c r="KO37" s="69">
        <f t="shared" si="28"/>
        <v>0</v>
      </c>
      <c r="KP37" s="69">
        <f t="shared" si="28"/>
        <v>0</v>
      </c>
      <c r="KQ37" s="69">
        <f t="shared" si="28"/>
        <v>0</v>
      </c>
      <c r="KR37" s="69">
        <f t="shared" si="28"/>
        <v>0</v>
      </c>
      <c r="KS37" s="69">
        <f t="shared" si="28"/>
        <v>0</v>
      </c>
      <c r="KT37" s="69">
        <f t="shared" si="28"/>
        <v>0</v>
      </c>
      <c r="KU37" s="69">
        <f t="shared" si="28"/>
        <v>0</v>
      </c>
      <c r="KV37" s="69">
        <f t="shared" si="28"/>
        <v>0</v>
      </c>
      <c r="KW37" s="69">
        <f t="shared" si="28"/>
        <v>0</v>
      </c>
      <c r="KX37" s="69">
        <f t="shared" si="28"/>
        <v>0</v>
      </c>
      <c r="KY37" s="69">
        <f t="shared" si="28"/>
        <v>0</v>
      </c>
      <c r="KZ37" s="69">
        <f t="shared" si="28"/>
        <v>0</v>
      </c>
      <c r="LA37" s="69">
        <f t="shared" si="28"/>
        <v>0</v>
      </c>
      <c r="LB37" s="69">
        <f t="shared" si="28"/>
        <v>0</v>
      </c>
      <c r="LC37" s="69">
        <f t="shared" si="28"/>
        <v>0</v>
      </c>
      <c r="LD37" s="69">
        <f t="shared" si="28"/>
        <v>0</v>
      </c>
      <c r="LE37" s="69">
        <f t="shared" si="28"/>
        <v>0</v>
      </c>
      <c r="LF37" s="69">
        <f t="shared" ref="LF37:MW37" si="29">LF38+LF39</f>
        <v>0</v>
      </c>
      <c r="LG37" s="69">
        <f t="shared" si="29"/>
        <v>0</v>
      </c>
      <c r="LH37" s="69">
        <f t="shared" si="29"/>
        <v>0</v>
      </c>
      <c r="LI37" s="69">
        <f t="shared" si="29"/>
        <v>0</v>
      </c>
      <c r="LJ37" s="69">
        <f t="shared" si="29"/>
        <v>0</v>
      </c>
      <c r="LK37" s="69">
        <f t="shared" si="29"/>
        <v>0</v>
      </c>
      <c r="LL37" s="69">
        <f t="shared" si="29"/>
        <v>0</v>
      </c>
      <c r="LM37" s="69">
        <f t="shared" si="29"/>
        <v>0</v>
      </c>
      <c r="LN37" s="69">
        <f t="shared" si="29"/>
        <v>0</v>
      </c>
      <c r="LO37" s="69">
        <f t="shared" si="29"/>
        <v>0</v>
      </c>
      <c r="LP37" s="69">
        <f t="shared" si="29"/>
        <v>0</v>
      </c>
      <c r="LQ37" s="69">
        <f t="shared" si="29"/>
        <v>0</v>
      </c>
      <c r="LR37" s="69">
        <f t="shared" si="29"/>
        <v>0</v>
      </c>
      <c r="LS37" s="69">
        <f t="shared" si="29"/>
        <v>0</v>
      </c>
      <c r="LT37" s="69">
        <f t="shared" si="29"/>
        <v>0</v>
      </c>
      <c r="LU37" s="69">
        <f t="shared" si="29"/>
        <v>0</v>
      </c>
      <c r="LV37" s="69">
        <f t="shared" si="29"/>
        <v>0</v>
      </c>
      <c r="LW37" s="69">
        <f t="shared" si="29"/>
        <v>0</v>
      </c>
      <c r="LX37" s="69">
        <f t="shared" si="29"/>
        <v>0</v>
      </c>
      <c r="LY37" s="69">
        <f t="shared" si="29"/>
        <v>0</v>
      </c>
      <c r="LZ37" s="69">
        <f t="shared" si="29"/>
        <v>0</v>
      </c>
      <c r="MA37" s="69">
        <f t="shared" si="29"/>
        <v>0</v>
      </c>
      <c r="MB37" s="69">
        <f t="shared" si="29"/>
        <v>0</v>
      </c>
      <c r="MC37" s="69">
        <f t="shared" si="29"/>
        <v>0</v>
      </c>
      <c r="MD37" s="69">
        <f t="shared" si="29"/>
        <v>0</v>
      </c>
      <c r="ME37" s="69">
        <f t="shared" si="29"/>
        <v>0</v>
      </c>
      <c r="MF37" s="69">
        <f t="shared" si="29"/>
        <v>0</v>
      </c>
      <c r="MG37" s="69">
        <f t="shared" si="29"/>
        <v>0</v>
      </c>
      <c r="MH37" s="69">
        <f t="shared" si="29"/>
        <v>0</v>
      </c>
      <c r="MI37" s="69">
        <f t="shared" si="29"/>
        <v>0</v>
      </c>
      <c r="MJ37" s="69">
        <f t="shared" si="29"/>
        <v>0</v>
      </c>
      <c r="MK37" s="69">
        <f t="shared" si="29"/>
        <v>0</v>
      </c>
      <c r="ML37" s="69">
        <f t="shared" si="29"/>
        <v>0</v>
      </c>
      <c r="MM37" s="69">
        <f t="shared" si="29"/>
        <v>0</v>
      </c>
      <c r="MN37" s="69">
        <f t="shared" si="29"/>
        <v>0</v>
      </c>
      <c r="MO37" s="69">
        <f t="shared" si="29"/>
        <v>0</v>
      </c>
      <c r="MP37" s="69">
        <f t="shared" si="29"/>
        <v>0</v>
      </c>
      <c r="MQ37" s="69">
        <f t="shared" si="29"/>
        <v>0</v>
      </c>
      <c r="MR37" s="69">
        <f t="shared" si="29"/>
        <v>0</v>
      </c>
      <c r="MS37" s="69">
        <f t="shared" si="29"/>
        <v>0</v>
      </c>
      <c r="MT37" s="69">
        <f t="shared" si="29"/>
        <v>0</v>
      </c>
      <c r="MU37" s="69">
        <f t="shared" si="29"/>
        <v>0</v>
      </c>
      <c r="MV37" s="69">
        <f t="shared" si="29"/>
        <v>0</v>
      </c>
      <c r="MW37" s="69">
        <f t="shared" si="29"/>
        <v>0</v>
      </c>
      <c r="MX37" s="54"/>
      <c r="MY37" s="54"/>
      <c r="MZ37" s="3"/>
      <c r="NA37" s="3"/>
    </row>
    <row r="38" spans="1:365" ht="14.25" x14ac:dyDescent="0.2">
      <c r="A38" s="55" t="s">
        <v>32</v>
      </c>
      <c r="B38" s="55"/>
      <c r="C38" s="56">
        <f t="shared" si="11"/>
        <v>9035832.5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57">
        <v>9035832.5</v>
      </c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14"/>
      <c r="MY38" s="14"/>
      <c r="MZ38" s="2"/>
      <c r="NA38" s="2"/>
    </row>
    <row r="39" spans="1:365" ht="14.25" x14ac:dyDescent="0.2">
      <c r="A39" s="55" t="s">
        <v>33</v>
      </c>
      <c r="B39" s="55"/>
      <c r="C39" s="56">
        <f t="shared" si="1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14"/>
      <c r="MY39" s="14"/>
      <c r="MZ39" s="2"/>
      <c r="NA39" s="2"/>
    </row>
    <row r="40" spans="1:365" ht="15.75" customHeight="1" x14ac:dyDescent="0.2">
      <c r="A40" s="50" t="s">
        <v>34</v>
      </c>
      <c r="B40" s="73">
        <v>1.5</v>
      </c>
      <c r="C40" s="56">
        <f t="shared" si="11"/>
        <v>0</v>
      </c>
      <c r="D40" s="50">
        <f>D41+D42</f>
        <v>0</v>
      </c>
      <c r="E40" s="50">
        <f t="shared" ref="E40:BP40" si="30">E41+E42</f>
        <v>0</v>
      </c>
      <c r="F40" s="50">
        <f t="shared" si="30"/>
        <v>0</v>
      </c>
      <c r="G40" s="50">
        <f t="shared" si="30"/>
        <v>0</v>
      </c>
      <c r="H40" s="50">
        <f t="shared" si="30"/>
        <v>0</v>
      </c>
      <c r="I40" s="50">
        <f t="shared" si="30"/>
        <v>0</v>
      </c>
      <c r="J40" s="50">
        <f t="shared" si="30"/>
        <v>0</v>
      </c>
      <c r="K40" s="50">
        <f t="shared" si="30"/>
        <v>0</v>
      </c>
      <c r="L40" s="50">
        <f t="shared" si="30"/>
        <v>0</v>
      </c>
      <c r="M40" s="50">
        <f t="shared" si="30"/>
        <v>0</v>
      </c>
      <c r="N40" s="50">
        <f t="shared" si="30"/>
        <v>0</v>
      </c>
      <c r="O40" s="50">
        <f t="shared" si="30"/>
        <v>0</v>
      </c>
      <c r="P40" s="50">
        <f t="shared" si="30"/>
        <v>0</v>
      </c>
      <c r="Q40" s="50">
        <f t="shared" si="30"/>
        <v>0</v>
      </c>
      <c r="R40" s="50">
        <f t="shared" si="30"/>
        <v>0</v>
      </c>
      <c r="S40" s="50">
        <f t="shared" si="30"/>
        <v>0</v>
      </c>
      <c r="T40" s="50">
        <f t="shared" si="30"/>
        <v>0</v>
      </c>
      <c r="U40" s="50">
        <f t="shared" si="30"/>
        <v>0</v>
      </c>
      <c r="V40" s="50">
        <f t="shared" si="30"/>
        <v>0</v>
      </c>
      <c r="W40" s="50">
        <f t="shared" si="30"/>
        <v>0</v>
      </c>
      <c r="X40" s="50">
        <f t="shared" si="30"/>
        <v>0</v>
      </c>
      <c r="Y40" s="50">
        <f t="shared" si="30"/>
        <v>0</v>
      </c>
      <c r="Z40" s="50">
        <f t="shared" si="30"/>
        <v>0</v>
      </c>
      <c r="AA40" s="50">
        <f t="shared" si="30"/>
        <v>0</v>
      </c>
      <c r="AB40" s="50">
        <f t="shared" si="30"/>
        <v>0</v>
      </c>
      <c r="AC40" s="50">
        <f t="shared" si="30"/>
        <v>0</v>
      </c>
      <c r="AD40" s="50">
        <f t="shared" si="30"/>
        <v>0</v>
      </c>
      <c r="AE40" s="50">
        <f t="shared" si="30"/>
        <v>0</v>
      </c>
      <c r="AF40" s="50">
        <f t="shared" si="30"/>
        <v>0</v>
      </c>
      <c r="AG40" s="50">
        <f t="shared" si="30"/>
        <v>0</v>
      </c>
      <c r="AH40" s="50">
        <f t="shared" si="30"/>
        <v>0</v>
      </c>
      <c r="AI40" s="50">
        <f t="shared" si="30"/>
        <v>0</v>
      </c>
      <c r="AJ40" s="50">
        <f t="shared" si="30"/>
        <v>0</v>
      </c>
      <c r="AK40" s="50">
        <f t="shared" si="30"/>
        <v>0</v>
      </c>
      <c r="AL40" s="50">
        <f t="shared" si="30"/>
        <v>0</v>
      </c>
      <c r="AM40" s="50">
        <f t="shared" si="30"/>
        <v>0</v>
      </c>
      <c r="AN40" s="50">
        <f t="shared" si="30"/>
        <v>0</v>
      </c>
      <c r="AO40" s="50">
        <f t="shared" si="30"/>
        <v>0</v>
      </c>
      <c r="AP40" s="50">
        <f t="shared" si="30"/>
        <v>0</v>
      </c>
      <c r="AQ40" s="50">
        <f t="shared" si="30"/>
        <v>0</v>
      </c>
      <c r="AR40" s="50">
        <f t="shared" si="30"/>
        <v>0</v>
      </c>
      <c r="AS40" s="50">
        <f t="shared" si="30"/>
        <v>0</v>
      </c>
      <c r="AT40" s="50">
        <f t="shared" si="30"/>
        <v>0</v>
      </c>
      <c r="AU40" s="50">
        <f t="shared" si="30"/>
        <v>0</v>
      </c>
      <c r="AV40" s="50">
        <f t="shared" si="30"/>
        <v>0</v>
      </c>
      <c r="AW40" s="50">
        <f t="shared" si="30"/>
        <v>0</v>
      </c>
      <c r="AX40" s="50">
        <f t="shared" si="30"/>
        <v>0</v>
      </c>
      <c r="AY40" s="50">
        <f t="shared" si="30"/>
        <v>0</v>
      </c>
      <c r="AZ40" s="50">
        <f t="shared" si="30"/>
        <v>0</v>
      </c>
      <c r="BA40" s="50">
        <f t="shared" si="30"/>
        <v>0</v>
      </c>
      <c r="BB40" s="50">
        <f t="shared" si="30"/>
        <v>0</v>
      </c>
      <c r="BC40" s="50">
        <f t="shared" si="30"/>
        <v>0</v>
      </c>
      <c r="BD40" s="50">
        <f t="shared" si="30"/>
        <v>0</v>
      </c>
      <c r="BE40" s="50">
        <f t="shared" si="30"/>
        <v>0</v>
      </c>
      <c r="BF40" s="50">
        <f t="shared" si="30"/>
        <v>0</v>
      </c>
      <c r="BG40" s="50">
        <f t="shared" si="30"/>
        <v>0</v>
      </c>
      <c r="BH40" s="50">
        <f t="shared" si="30"/>
        <v>0</v>
      </c>
      <c r="BI40" s="50">
        <f t="shared" si="30"/>
        <v>0</v>
      </c>
      <c r="BJ40" s="50">
        <f t="shared" si="30"/>
        <v>0</v>
      </c>
      <c r="BK40" s="50">
        <f t="shared" si="30"/>
        <v>0</v>
      </c>
      <c r="BL40" s="50">
        <f t="shared" si="30"/>
        <v>0</v>
      </c>
      <c r="BM40" s="50">
        <f t="shared" si="30"/>
        <v>0</v>
      </c>
      <c r="BN40" s="50">
        <f t="shared" si="30"/>
        <v>0</v>
      </c>
      <c r="BO40" s="50">
        <f t="shared" si="30"/>
        <v>0</v>
      </c>
      <c r="BP40" s="50">
        <f t="shared" si="30"/>
        <v>0</v>
      </c>
      <c r="BQ40" s="50">
        <f t="shared" ref="BQ40:EB40" si="31">BQ41+BQ42</f>
        <v>0</v>
      </c>
      <c r="BR40" s="50">
        <f t="shared" si="31"/>
        <v>0</v>
      </c>
      <c r="BS40" s="50">
        <f t="shared" si="31"/>
        <v>0</v>
      </c>
      <c r="BT40" s="50">
        <f t="shared" si="31"/>
        <v>0</v>
      </c>
      <c r="BU40" s="50">
        <f t="shared" si="31"/>
        <v>0</v>
      </c>
      <c r="BV40" s="50">
        <f t="shared" si="31"/>
        <v>0</v>
      </c>
      <c r="BW40" s="50">
        <f t="shared" si="31"/>
        <v>0</v>
      </c>
      <c r="BX40" s="50">
        <f t="shared" si="31"/>
        <v>0</v>
      </c>
      <c r="BY40" s="50">
        <f t="shared" si="31"/>
        <v>0</v>
      </c>
      <c r="BZ40" s="50">
        <f t="shared" si="31"/>
        <v>0</v>
      </c>
      <c r="CA40" s="50">
        <f t="shared" si="31"/>
        <v>0</v>
      </c>
      <c r="CB40" s="50">
        <f t="shared" si="31"/>
        <v>0</v>
      </c>
      <c r="CC40" s="50">
        <f t="shared" si="31"/>
        <v>0</v>
      </c>
      <c r="CD40" s="50">
        <f t="shared" si="31"/>
        <v>0</v>
      </c>
      <c r="CE40" s="50">
        <f t="shared" si="31"/>
        <v>0</v>
      </c>
      <c r="CF40" s="50">
        <f t="shared" si="31"/>
        <v>0</v>
      </c>
      <c r="CG40" s="50">
        <f t="shared" si="31"/>
        <v>0</v>
      </c>
      <c r="CH40" s="50">
        <f t="shared" si="31"/>
        <v>0</v>
      </c>
      <c r="CI40" s="50">
        <f t="shared" si="31"/>
        <v>0</v>
      </c>
      <c r="CJ40" s="50">
        <f t="shared" si="31"/>
        <v>0</v>
      </c>
      <c r="CK40" s="50">
        <f t="shared" si="31"/>
        <v>0</v>
      </c>
      <c r="CL40" s="50">
        <f t="shared" si="31"/>
        <v>0</v>
      </c>
      <c r="CM40" s="50">
        <f t="shared" si="31"/>
        <v>0</v>
      </c>
      <c r="CN40" s="50">
        <f t="shared" si="31"/>
        <v>0</v>
      </c>
      <c r="CO40" s="50">
        <f t="shared" si="31"/>
        <v>0</v>
      </c>
      <c r="CP40" s="50">
        <f t="shared" si="31"/>
        <v>0</v>
      </c>
      <c r="CQ40" s="50">
        <f t="shared" si="31"/>
        <v>0</v>
      </c>
      <c r="CR40" s="50">
        <f t="shared" si="31"/>
        <v>0</v>
      </c>
      <c r="CS40" s="50">
        <f t="shared" si="31"/>
        <v>0</v>
      </c>
      <c r="CT40" s="50">
        <f t="shared" si="31"/>
        <v>0</v>
      </c>
      <c r="CU40" s="50">
        <f t="shared" si="31"/>
        <v>0</v>
      </c>
      <c r="CV40" s="50">
        <f t="shared" si="31"/>
        <v>0</v>
      </c>
      <c r="CW40" s="50">
        <f t="shared" si="31"/>
        <v>0</v>
      </c>
      <c r="CX40" s="50">
        <f t="shared" si="31"/>
        <v>0</v>
      </c>
      <c r="CY40" s="50">
        <f t="shared" si="31"/>
        <v>0</v>
      </c>
      <c r="CZ40" s="50">
        <f t="shared" si="31"/>
        <v>0</v>
      </c>
      <c r="DA40" s="50">
        <f t="shared" si="31"/>
        <v>0</v>
      </c>
      <c r="DB40" s="50">
        <f t="shared" si="31"/>
        <v>0</v>
      </c>
      <c r="DC40" s="50">
        <f t="shared" si="31"/>
        <v>0</v>
      </c>
      <c r="DD40" s="50">
        <f t="shared" si="31"/>
        <v>0</v>
      </c>
      <c r="DE40" s="50">
        <f t="shared" si="31"/>
        <v>0</v>
      </c>
      <c r="DF40" s="50">
        <f t="shared" si="31"/>
        <v>0</v>
      </c>
      <c r="DG40" s="50">
        <f t="shared" si="31"/>
        <v>0</v>
      </c>
      <c r="DH40" s="50">
        <f t="shared" si="31"/>
        <v>0</v>
      </c>
      <c r="DI40" s="50">
        <f t="shared" si="31"/>
        <v>0</v>
      </c>
      <c r="DJ40" s="50">
        <f t="shared" si="31"/>
        <v>0</v>
      </c>
      <c r="DK40" s="50">
        <f t="shared" si="31"/>
        <v>0</v>
      </c>
      <c r="DL40" s="50">
        <f t="shared" si="31"/>
        <v>0</v>
      </c>
      <c r="DM40" s="50">
        <f t="shared" si="31"/>
        <v>0</v>
      </c>
      <c r="DN40" s="50">
        <f t="shared" si="31"/>
        <v>0</v>
      </c>
      <c r="DO40" s="50">
        <f t="shared" si="31"/>
        <v>0</v>
      </c>
      <c r="DP40" s="50">
        <f t="shared" si="31"/>
        <v>0</v>
      </c>
      <c r="DQ40" s="50">
        <f t="shared" si="31"/>
        <v>0</v>
      </c>
      <c r="DR40" s="50">
        <f t="shared" si="31"/>
        <v>0</v>
      </c>
      <c r="DS40" s="50">
        <f t="shared" si="31"/>
        <v>0</v>
      </c>
      <c r="DT40" s="50">
        <f t="shared" si="31"/>
        <v>0</v>
      </c>
      <c r="DU40" s="50">
        <f t="shared" si="31"/>
        <v>0</v>
      </c>
      <c r="DV40" s="50">
        <f t="shared" si="31"/>
        <v>0</v>
      </c>
      <c r="DW40" s="50">
        <f t="shared" si="31"/>
        <v>0</v>
      </c>
      <c r="DX40" s="50">
        <f t="shared" si="31"/>
        <v>0</v>
      </c>
      <c r="DY40" s="50">
        <f t="shared" si="31"/>
        <v>0</v>
      </c>
      <c r="DZ40" s="50">
        <f t="shared" si="31"/>
        <v>0</v>
      </c>
      <c r="EA40" s="50">
        <f t="shared" si="31"/>
        <v>0</v>
      </c>
      <c r="EB40" s="50">
        <f t="shared" si="31"/>
        <v>0</v>
      </c>
      <c r="EC40" s="50">
        <f t="shared" ref="EC40:GD40" si="32">EC41+EC42</f>
        <v>0</v>
      </c>
      <c r="ED40" s="50">
        <f t="shared" si="32"/>
        <v>0</v>
      </c>
      <c r="EE40" s="50">
        <f t="shared" si="32"/>
        <v>0</v>
      </c>
      <c r="EF40" s="50">
        <f t="shared" si="32"/>
        <v>0</v>
      </c>
      <c r="EG40" s="50">
        <f t="shared" si="32"/>
        <v>0</v>
      </c>
      <c r="EH40" s="50">
        <f t="shared" si="32"/>
        <v>0</v>
      </c>
      <c r="EI40" s="50">
        <f t="shared" si="32"/>
        <v>0</v>
      </c>
      <c r="EJ40" s="50">
        <f t="shared" si="32"/>
        <v>0</v>
      </c>
      <c r="EK40" s="50">
        <f t="shared" si="32"/>
        <v>0</v>
      </c>
      <c r="EL40" s="50">
        <f t="shared" si="32"/>
        <v>0</v>
      </c>
      <c r="EM40" s="50">
        <f t="shared" si="32"/>
        <v>0</v>
      </c>
      <c r="EN40" s="50">
        <f t="shared" si="32"/>
        <v>0</v>
      </c>
      <c r="EO40" s="50">
        <f t="shared" si="32"/>
        <v>0</v>
      </c>
      <c r="EP40" s="50">
        <f t="shared" si="32"/>
        <v>0</v>
      </c>
      <c r="EQ40" s="50">
        <f t="shared" si="32"/>
        <v>0</v>
      </c>
      <c r="ER40" s="50">
        <f t="shared" si="32"/>
        <v>0</v>
      </c>
      <c r="ES40" s="50">
        <f t="shared" si="32"/>
        <v>0</v>
      </c>
      <c r="ET40" s="50">
        <f t="shared" si="32"/>
        <v>0</v>
      </c>
      <c r="EU40" s="50">
        <f t="shared" si="32"/>
        <v>0</v>
      </c>
      <c r="EV40" s="50">
        <f t="shared" si="32"/>
        <v>0</v>
      </c>
      <c r="EW40" s="50">
        <f t="shared" si="32"/>
        <v>0</v>
      </c>
      <c r="EX40" s="50">
        <f t="shared" si="32"/>
        <v>0</v>
      </c>
      <c r="EY40" s="50">
        <f t="shared" si="32"/>
        <v>0</v>
      </c>
      <c r="EZ40" s="50">
        <f t="shared" si="32"/>
        <v>0</v>
      </c>
      <c r="FA40" s="50">
        <f t="shared" si="32"/>
        <v>0</v>
      </c>
      <c r="FB40" s="50">
        <f t="shared" si="32"/>
        <v>0</v>
      </c>
      <c r="FC40" s="50">
        <f t="shared" si="32"/>
        <v>0</v>
      </c>
      <c r="FD40" s="50">
        <f t="shared" si="32"/>
        <v>0</v>
      </c>
      <c r="FE40" s="50">
        <f t="shared" si="32"/>
        <v>0</v>
      </c>
      <c r="FF40" s="50">
        <f t="shared" si="32"/>
        <v>0</v>
      </c>
      <c r="FG40" s="50">
        <f t="shared" si="32"/>
        <v>0</v>
      </c>
      <c r="FH40" s="50">
        <f t="shared" si="32"/>
        <v>0</v>
      </c>
      <c r="FI40" s="50">
        <f t="shared" si="32"/>
        <v>0</v>
      </c>
      <c r="FJ40" s="50">
        <f t="shared" si="32"/>
        <v>0</v>
      </c>
      <c r="FK40" s="50">
        <f t="shared" si="32"/>
        <v>0</v>
      </c>
      <c r="FL40" s="50">
        <f t="shared" si="32"/>
        <v>0</v>
      </c>
      <c r="FM40" s="50">
        <f t="shared" si="32"/>
        <v>0</v>
      </c>
      <c r="FN40" s="50">
        <f t="shared" si="32"/>
        <v>0</v>
      </c>
      <c r="FO40" s="50">
        <f t="shared" si="32"/>
        <v>0</v>
      </c>
      <c r="FP40" s="50">
        <f t="shared" si="32"/>
        <v>0</v>
      </c>
      <c r="FQ40" s="50">
        <f t="shared" si="32"/>
        <v>0</v>
      </c>
      <c r="FR40" s="50">
        <f t="shared" si="32"/>
        <v>0</v>
      </c>
      <c r="FS40" s="50">
        <f t="shared" si="32"/>
        <v>0</v>
      </c>
      <c r="FT40" s="50">
        <f t="shared" si="32"/>
        <v>0</v>
      </c>
      <c r="FU40" s="50">
        <f t="shared" si="32"/>
        <v>0</v>
      </c>
      <c r="FV40" s="50">
        <f t="shared" si="32"/>
        <v>0</v>
      </c>
      <c r="FW40" s="50">
        <f t="shared" si="32"/>
        <v>0</v>
      </c>
      <c r="FX40" s="50">
        <f t="shared" si="32"/>
        <v>0</v>
      </c>
      <c r="FY40" s="50">
        <f t="shared" si="32"/>
        <v>0</v>
      </c>
      <c r="FZ40" s="50">
        <f t="shared" si="32"/>
        <v>0</v>
      </c>
      <c r="GA40" s="50">
        <f t="shared" si="32"/>
        <v>0</v>
      </c>
      <c r="GB40" s="50">
        <f t="shared" si="32"/>
        <v>0</v>
      </c>
      <c r="GC40" s="50">
        <f t="shared" si="32"/>
        <v>0</v>
      </c>
      <c r="GD40" s="50">
        <f t="shared" si="32"/>
        <v>0</v>
      </c>
      <c r="GE40" s="50">
        <f>GE41+GE42</f>
        <v>0</v>
      </c>
      <c r="GF40" s="50">
        <f>GF41+GF42</f>
        <v>0</v>
      </c>
      <c r="GG40" s="50">
        <f>GG41+GG42</f>
        <v>0</v>
      </c>
      <c r="GH40" s="50">
        <f t="shared" ref="GH40:IS40" si="33">GH41+GH42</f>
        <v>0</v>
      </c>
      <c r="GI40" s="50">
        <f t="shared" si="33"/>
        <v>0</v>
      </c>
      <c r="GJ40" s="50">
        <f t="shared" si="33"/>
        <v>0</v>
      </c>
      <c r="GK40" s="50">
        <f t="shared" si="33"/>
        <v>0</v>
      </c>
      <c r="GL40" s="50">
        <f t="shared" si="33"/>
        <v>0</v>
      </c>
      <c r="GM40" s="50">
        <f t="shared" si="33"/>
        <v>0</v>
      </c>
      <c r="GN40" s="50">
        <f t="shared" si="33"/>
        <v>0</v>
      </c>
      <c r="GO40" s="50">
        <f t="shared" si="33"/>
        <v>0</v>
      </c>
      <c r="GP40" s="50">
        <f t="shared" si="33"/>
        <v>0</v>
      </c>
      <c r="GQ40" s="50">
        <f t="shared" si="33"/>
        <v>0</v>
      </c>
      <c r="GR40" s="50">
        <f t="shared" si="33"/>
        <v>0</v>
      </c>
      <c r="GS40" s="50">
        <f t="shared" si="33"/>
        <v>0</v>
      </c>
      <c r="GT40" s="50">
        <f t="shared" si="33"/>
        <v>0</v>
      </c>
      <c r="GU40" s="50">
        <f t="shared" si="33"/>
        <v>0</v>
      </c>
      <c r="GV40" s="50">
        <f t="shared" si="33"/>
        <v>0</v>
      </c>
      <c r="GW40" s="50">
        <f t="shared" si="33"/>
        <v>0</v>
      </c>
      <c r="GX40" s="50">
        <f t="shared" si="33"/>
        <v>0</v>
      </c>
      <c r="GY40" s="50">
        <f t="shared" si="33"/>
        <v>0</v>
      </c>
      <c r="GZ40" s="50">
        <f t="shared" si="33"/>
        <v>0</v>
      </c>
      <c r="HA40" s="50">
        <f t="shared" si="33"/>
        <v>0</v>
      </c>
      <c r="HB40" s="50">
        <f t="shared" si="33"/>
        <v>0</v>
      </c>
      <c r="HC40" s="50">
        <f t="shared" si="33"/>
        <v>0</v>
      </c>
      <c r="HD40" s="50">
        <f t="shared" si="33"/>
        <v>0</v>
      </c>
      <c r="HE40" s="50">
        <f t="shared" si="33"/>
        <v>0</v>
      </c>
      <c r="HF40" s="50">
        <f t="shared" si="33"/>
        <v>0</v>
      </c>
      <c r="HG40" s="50">
        <f t="shared" si="33"/>
        <v>0</v>
      </c>
      <c r="HH40" s="50">
        <f t="shared" si="33"/>
        <v>0</v>
      </c>
      <c r="HI40" s="50">
        <f t="shared" si="33"/>
        <v>0</v>
      </c>
      <c r="HJ40" s="50">
        <f t="shared" si="33"/>
        <v>0</v>
      </c>
      <c r="HK40" s="50">
        <f t="shared" si="33"/>
        <v>0</v>
      </c>
      <c r="HL40" s="50">
        <f t="shared" si="33"/>
        <v>0</v>
      </c>
      <c r="HM40" s="50">
        <f t="shared" si="33"/>
        <v>0</v>
      </c>
      <c r="HN40" s="50">
        <f t="shared" si="33"/>
        <v>0</v>
      </c>
      <c r="HO40" s="50">
        <f t="shared" si="33"/>
        <v>0</v>
      </c>
      <c r="HP40" s="50">
        <f t="shared" si="33"/>
        <v>0</v>
      </c>
      <c r="HQ40" s="50">
        <f t="shared" si="33"/>
        <v>0</v>
      </c>
      <c r="HR40" s="50">
        <f t="shared" si="33"/>
        <v>0</v>
      </c>
      <c r="HS40" s="50">
        <f t="shared" si="33"/>
        <v>0</v>
      </c>
      <c r="HT40" s="50">
        <f t="shared" si="33"/>
        <v>0</v>
      </c>
      <c r="HU40" s="50">
        <f t="shared" si="33"/>
        <v>0</v>
      </c>
      <c r="HV40" s="50">
        <f t="shared" si="33"/>
        <v>0</v>
      </c>
      <c r="HW40" s="50">
        <f t="shared" si="33"/>
        <v>0</v>
      </c>
      <c r="HX40" s="50">
        <f t="shared" si="33"/>
        <v>0</v>
      </c>
      <c r="HY40" s="50">
        <f t="shared" si="33"/>
        <v>0</v>
      </c>
      <c r="HZ40" s="50">
        <f t="shared" si="33"/>
        <v>0</v>
      </c>
      <c r="IA40" s="50">
        <f t="shared" si="33"/>
        <v>0</v>
      </c>
      <c r="IB40" s="50">
        <f t="shared" si="33"/>
        <v>0</v>
      </c>
      <c r="IC40" s="50">
        <f t="shared" si="33"/>
        <v>0</v>
      </c>
      <c r="ID40" s="50">
        <f t="shared" si="33"/>
        <v>0</v>
      </c>
      <c r="IE40" s="50">
        <f t="shared" si="33"/>
        <v>0</v>
      </c>
      <c r="IF40" s="50">
        <f t="shared" si="33"/>
        <v>0</v>
      </c>
      <c r="IG40" s="50">
        <f t="shared" si="33"/>
        <v>0</v>
      </c>
      <c r="IH40" s="50">
        <f t="shared" si="33"/>
        <v>0</v>
      </c>
      <c r="II40" s="50">
        <f t="shared" si="33"/>
        <v>0</v>
      </c>
      <c r="IJ40" s="50">
        <f t="shared" si="33"/>
        <v>0</v>
      </c>
      <c r="IK40" s="50">
        <f t="shared" si="33"/>
        <v>0</v>
      </c>
      <c r="IL40" s="50">
        <f t="shared" si="33"/>
        <v>0</v>
      </c>
      <c r="IM40" s="50">
        <f t="shared" si="33"/>
        <v>0</v>
      </c>
      <c r="IN40" s="50">
        <f t="shared" si="33"/>
        <v>0</v>
      </c>
      <c r="IO40" s="50">
        <f t="shared" si="33"/>
        <v>0</v>
      </c>
      <c r="IP40" s="50">
        <f t="shared" si="33"/>
        <v>0</v>
      </c>
      <c r="IQ40" s="50">
        <f t="shared" si="33"/>
        <v>0</v>
      </c>
      <c r="IR40" s="50">
        <f t="shared" si="33"/>
        <v>0</v>
      </c>
      <c r="IS40" s="50">
        <f t="shared" si="33"/>
        <v>0</v>
      </c>
      <c r="IT40" s="50">
        <f t="shared" ref="IT40:LE40" si="34">IT41+IT42</f>
        <v>0</v>
      </c>
      <c r="IU40" s="50">
        <f t="shared" si="34"/>
        <v>0</v>
      </c>
      <c r="IV40" s="50">
        <f t="shared" si="34"/>
        <v>0</v>
      </c>
      <c r="IW40" s="50">
        <f t="shared" si="34"/>
        <v>0</v>
      </c>
      <c r="IX40" s="50">
        <f t="shared" si="34"/>
        <v>0</v>
      </c>
      <c r="IY40" s="50">
        <f t="shared" si="34"/>
        <v>0</v>
      </c>
      <c r="IZ40" s="50">
        <f t="shared" si="34"/>
        <v>0</v>
      </c>
      <c r="JA40" s="50">
        <f t="shared" si="34"/>
        <v>0</v>
      </c>
      <c r="JB40" s="50">
        <f t="shared" si="34"/>
        <v>0</v>
      </c>
      <c r="JC40" s="50">
        <f t="shared" si="34"/>
        <v>0</v>
      </c>
      <c r="JD40" s="50">
        <f t="shared" si="34"/>
        <v>0</v>
      </c>
      <c r="JE40" s="50">
        <f t="shared" si="34"/>
        <v>0</v>
      </c>
      <c r="JF40" s="50">
        <f t="shared" si="34"/>
        <v>0</v>
      </c>
      <c r="JG40" s="50">
        <f t="shared" si="34"/>
        <v>0</v>
      </c>
      <c r="JH40" s="50">
        <f t="shared" si="34"/>
        <v>0</v>
      </c>
      <c r="JI40" s="50">
        <f t="shared" si="34"/>
        <v>0</v>
      </c>
      <c r="JJ40" s="50">
        <f t="shared" si="34"/>
        <v>0</v>
      </c>
      <c r="JK40" s="50">
        <f t="shared" si="34"/>
        <v>0</v>
      </c>
      <c r="JL40" s="50">
        <f t="shared" si="34"/>
        <v>0</v>
      </c>
      <c r="JM40" s="50">
        <f t="shared" si="34"/>
        <v>0</v>
      </c>
      <c r="JN40" s="50">
        <f t="shared" si="34"/>
        <v>0</v>
      </c>
      <c r="JO40" s="50">
        <f t="shared" si="34"/>
        <v>0</v>
      </c>
      <c r="JP40" s="50">
        <f t="shared" si="34"/>
        <v>0</v>
      </c>
      <c r="JQ40" s="50">
        <f t="shared" si="34"/>
        <v>0</v>
      </c>
      <c r="JR40" s="50">
        <f t="shared" si="34"/>
        <v>0</v>
      </c>
      <c r="JS40" s="50">
        <f t="shared" si="34"/>
        <v>0</v>
      </c>
      <c r="JT40" s="50">
        <f t="shared" si="34"/>
        <v>0</v>
      </c>
      <c r="JU40" s="50">
        <f t="shared" si="34"/>
        <v>0</v>
      </c>
      <c r="JV40" s="50">
        <f t="shared" si="34"/>
        <v>0</v>
      </c>
      <c r="JW40" s="50">
        <f t="shared" si="34"/>
        <v>0</v>
      </c>
      <c r="JX40" s="50">
        <f t="shared" si="34"/>
        <v>0</v>
      </c>
      <c r="JY40" s="50">
        <f t="shared" si="34"/>
        <v>0</v>
      </c>
      <c r="JZ40" s="50">
        <f t="shared" si="34"/>
        <v>0</v>
      </c>
      <c r="KA40" s="50">
        <f t="shared" si="34"/>
        <v>0</v>
      </c>
      <c r="KB40" s="50">
        <f t="shared" si="34"/>
        <v>0</v>
      </c>
      <c r="KC40" s="50">
        <f t="shared" si="34"/>
        <v>0</v>
      </c>
      <c r="KD40" s="50">
        <f t="shared" si="34"/>
        <v>0</v>
      </c>
      <c r="KE40" s="50">
        <f t="shared" si="34"/>
        <v>0</v>
      </c>
      <c r="KF40" s="50">
        <f t="shared" si="34"/>
        <v>0</v>
      </c>
      <c r="KG40" s="50">
        <f t="shared" si="34"/>
        <v>0</v>
      </c>
      <c r="KH40" s="50">
        <f t="shared" si="34"/>
        <v>0</v>
      </c>
      <c r="KI40" s="50">
        <f t="shared" si="34"/>
        <v>0</v>
      </c>
      <c r="KJ40" s="50">
        <f t="shared" si="34"/>
        <v>0</v>
      </c>
      <c r="KK40" s="50">
        <f t="shared" si="34"/>
        <v>0</v>
      </c>
      <c r="KL40" s="50">
        <f t="shared" si="34"/>
        <v>0</v>
      </c>
      <c r="KM40" s="50">
        <f t="shared" si="34"/>
        <v>0</v>
      </c>
      <c r="KN40" s="50">
        <f t="shared" si="34"/>
        <v>0</v>
      </c>
      <c r="KO40" s="50">
        <f t="shared" si="34"/>
        <v>0</v>
      </c>
      <c r="KP40" s="50">
        <f t="shared" si="34"/>
        <v>0</v>
      </c>
      <c r="KQ40" s="50">
        <f t="shared" si="34"/>
        <v>0</v>
      </c>
      <c r="KR40" s="50">
        <f t="shared" si="34"/>
        <v>0</v>
      </c>
      <c r="KS40" s="50">
        <f t="shared" si="34"/>
        <v>0</v>
      </c>
      <c r="KT40" s="50">
        <f t="shared" si="34"/>
        <v>0</v>
      </c>
      <c r="KU40" s="50">
        <f t="shared" si="34"/>
        <v>0</v>
      </c>
      <c r="KV40" s="50">
        <f t="shared" si="34"/>
        <v>0</v>
      </c>
      <c r="KW40" s="50">
        <f t="shared" si="34"/>
        <v>0</v>
      </c>
      <c r="KX40" s="50">
        <f t="shared" si="34"/>
        <v>0</v>
      </c>
      <c r="KY40" s="50">
        <f t="shared" si="34"/>
        <v>0</v>
      </c>
      <c r="KZ40" s="50">
        <f t="shared" si="34"/>
        <v>0</v>
      </c>
      <c r="LA40" s="50">
        <f t="shared" si="34"/>
        <v>0</v>
      </c>
      <c r="LB40" s="50">
        <f t="shared" si="34"/>
        <v>0</v>
      </c>
      <c r="LC40" s="50">
        <f t="shared" si="34"/>
        <v>0</v>
      </c>
      <c r="LD40" s="50">
        <f t="shared" si="34"/>
        <v>0</v>
      </c>
      <c r="LE40" s="50">
        <f t="shared" si="34"/>
        <v>0</v>
      </c>
      <c r="LF40" s="50">
        <f t="shared" ref="LF40:MW40" si="35">LF41+LF42</f>
        <v>0</v>
      </c>
      <c r="LG40" s="50">
        <f t="shared" si="35"/>
        <v>0</v>
      </c>
      <c r="LH40" s="50">
        <f t="shared" si="35"/>
        <v>0</v>
      </c>
      <c r="LI40" s="50">
        <f t="shared" si="35"/>
        <v>0</v>
      </c>
      <c r="LJ40" s="50">
        <f t="shared" si="35"/>
        <v>0</v>
      </c>
      <c r="LK40" s="50">
        <f t="shared" si="35"/>
        <v>0</v>
      </c>
      <c r="LL40" s="50">
        <f t="shared" si="35"/>
        <v>0</v>
      </c>
      <c r="LM40" s="50">
        <f t="shared" si="35"/>
        <v>0</v>
      </c>
      <c r="LN40" s="50">
        <f t="shared" si="35"/>
        <v>0</v>
      </c>
      <c r="LO40" s="50">
        <f t="shared" si="35"/>
        <v>0</v>
      </c>
      <c r="LP40" s="50">
        <f t="shared" si="35"/>
        <v>0</v>
      </c>
      <c r="LQ40" s="50">
        <f t="shared" si="35"/>
        <v>0</v>
      </c>
      <c r="LR40" s="50">
        <f t="shared" si="35"/>
        <v>0</v>
      </c>
      <c r="LS40" s="50">
        <f t="shared" si="35"/>
        <v>0</v>
      </c>
      <c r="LT40" s="50">
        <f t="shared" si="35"/>
        <v>0</v>
      </c>
      <c r="LU40" s="50">
        <f t="shared" si="35"/>
        <v>0</v>
      </c>
      <c r="LV40" s="50">
        <f t="shared" si="35"/>
        <v>0</v>
      </c>
      <c r="LW40" s="50">
        <f t="shared" si="35"/>
        <v>0</v>
      </c>
      <c r="LX40" s="50">
        <f t="shared" si="35"/>
        <v>0</v>
      </c>
      <c r="LY40" s="50">
        <f t="shared" si="35"/>
        <v>0</v>
      </c>
      <c r="LZ40" s="50">
        <f t="shared" si="35"/>
        <v>0</v>
      </c>
      <c r="MA40" s="50">
        <f t="shared" si="35"/>
        <v>0</v>
      </c>
      <c r="MB40" s="50">
        <f t="shared" si="35"/>
        <v>0</v>
      </c>
      <c r="MC40" s="50">
        <f t="shared" si="35"/>
        <v>0</v>
      </c>
      <c r="MD40" s="50">
        <f t="shared" si="35"/>
        <v>0</v>
      </c>
      <c r="ME40" s="50">
        <f t="shared" si="35"/>
        <v>0</v>
      </c>
      <c r="MF40" s="50">
        <f t="shared" si="35"/>
        <v>0</v>
      </c>
      <c r="MG40" s="50">
        <f t="shared" si="35"/>
        <v>0</v>
      </c>
      <c r="MH40" s="50">
        <f t="shared" si="35"/>
        <v>0</v>
      </c>
      <c r="MI40" s="50">
        <f t="shared" si="35"/>
        <v>0</v>
      </c>
      <c r="MJ40" s="50">
        <f t="shared" si="35"/>
        <v>0</v>
      </c>
      <c r="MK40" s="50">
        <f t="shared" si="35"/>
        <v>0</v>
      </c>
      <c r="ML40" s="50">
        <f t="shared" si="35"/>
        <v>0</v>
      </c>
      <c r="MM40" s="50">
        <f t="shared" si="35"/>
        <v>0</v>
      </c>
      <c r="MN40" s="50">
        <f t="shared" si="35"/>
        <v>0</v>
      </c>
      <c r="MO40" s="50">
        <f t="shared" si="35"/>
        <v>0</v>
      </c>
      <c r="MP40" s="50">
        <f t="shared" si="35"/>
        <v>0</v>
      </c>
      <c r="MQ40" s="50">
        <f t="shared" si="35"/>
        <v>0</v>
      </c>
      <c r="MR40" s="50">
        <f t="shared" si="35"/>
        <v>0</v>
      </c>
      <c r="MS40" s="50">
        <f t="shared" si="35"/>
        <v>0</v>
      </c>
      <c r="MT40" s="50">
        <f t="shared" si="35"/>
        <v>0</v>
      </c>
      <c r="MU40" s="50">
        <f t="shared" si="35"/>
        <v>0</v>
      </c>
      <c r="MV40" s="50">
        <f t="shared" si="35"/>
        <v>0</v>
      </c>
      <c r="MW40" s="50">
        <f t="shared" si="35"/>
        <v>0</v>
      </c>
      <c r="MX40" s="54"/>
      <c r="MY40" s="54"/>
      <c r="MZ40" s="3"/>
      <c r="NA40" s="3"/>
    </row>
    <row r="41" spans="1:365" ht="28.5" customHeight="1" x14ac:dyDescent="0.2">
      <c r="A41" s="55" t="s">
        <v>41</v>
      </c>
      <c r="B41" s="55"/>
      <c r="C41" s="56">
        <f t="shared" si="1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  <c r="IW41" s="70"/>
      <c r="IX41" s="70"/>
      <c r="IY41" s="70"/>
      <c r="IZ41" s="70"/>
      <c r="JA41" s="70"/>
      <c r="JB41" s="70"/>
      <c r="JC41" s="70"/>
      <c r="JD41" s="70"/>
      <c r="JE41" s="70"/>
      <c r="JF41" s="70"/>
      <c r="JG41" s="70"/>
      <c r="JH41" s="70"/>
      <c r="JI41" s="70"/>
      <c r="JJ41" s="70"/>
      <c r="JK41" s="70"/>
      <c r="JL41" s="70"/>
      <c r="JM41" s="70"/>
      <c r="JN41" s="70"/>
      <c r="JO41" s="70"/>
      <c r="JP41" s="70"/>
      <c r="JQ41" s="70"/>
      <c r="JR41" s="70"/>
      <c r="JS41" s="70"/>
      <c r="JT41" s="70"/>
      <c r="JU41" s="70"/>
      <c r="JV41" s="70"/>
      <c r="JW41" s="70"/>
      <c r="JX41" s="70"/>
      <c r="JY41" s="70"/>
      <c r="JZ41" s="70"/>
      <c r="KA41" s="70"/>
      <c r="KB41" s="70"/>
      <c r="KC41" s="70"/>
      <c r="KD41" s="70"/>
      <c r="KE41" s="70"/>
      <c r="KF41" s="70"/>
      <c r="KG41" s="70"/>
      <c r="KH41" s="70"/>
      <c r="KI41" s="70"/>
      <c r="KJ41" s="70"/>
      <c r="KK41" s="70"/>
      <c r="KL41" s="70"/>
      <c r="KM41" s="70"/>
      <c r="KN41" s="70"/>
      <c r="KO41" s="70"/>
      <c r="KP41" s="70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14"/>
      <c r="MY41" s="14"/>
      <c r="MZ41" s="2"/>
      <c r="NA41" s="2"/>
    </row>
    <row r="42" spans="1:365" ht="14.25" x14ac:dyDescent="0.2">
      <c r="A42" s="55" t="s">
        <v>49</v>
      </c>
      <c r="B42" s="55"/>
      <c r="C42" s="56">
        <f t="shared" si="1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  <c r="IW42" s="70"/>
      <c r="IX42" s="70"/>
      <c r="IY42" s="70"/>
      <c r="IZ42" s="70"/>
      <c r="JA42" s="70"/>
      <c r="JB42" s="70"/>
      <c r="JC42" s="70"/>
      <c r="JD42" s="70"/>
      <c r="JE42" s="70"/>
      <c r="JF42" s="70"/>
      <c r="JG42" s="70"/>
      <c r="JH42" s="70"/>
      <c r="JI42" s="70"/>
      <c r="JJ42" s="70"/>
      <c r="JK42" s="70"/>
      <c r="JL42" s="70"/>
      <c r="JM42" s="70"/>
      <c r="JN42" s="70"/>
      <c r="JO42" s="70"/>
      <c r="JP42" s="70"/>
      <c r="JQ42" s="70"/>
      <c r="JR42" s="70"/>
      <c r="JS42" s="70"/>
      <c r="JT42" s="70"/>
      <c r="JU42" s="70"/>
      <c r="JV42" s="70"/>
      <c r="JW42" s="70"/>
      <c r="JX42" s="70"/>
      <c r="JY42" s="70"/>
      <c r="JZ42" s="70"/>
      <c r="KA42" s="70"/>
      <c r="KB42" s="70"/>
      <c r="KC42" s="70"/>
      <c r="KD42" s="70"/>
      <c r="KE42" s="70"/>
      <c r="KF42" s="70"/>
      <c r="KG42" s="70"/>
      <c r="KH42" s="70"/>
      <c r="KI42" s="70"/>
      <c r="KJ42" s="70"/>
      <c r="KK42" s="70"/>
      <c r="KL42" s="70"/>
      <c r="KM42" s="70"/>
      <c r="KN42" s="70"/>
      <c r="KO42" s="70"/>
      <c r="KP42" s="70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14"/>
      <c r="MY42" s="14"/>
      <c r="MZ42" s="2"/>
      <c r="NA42" s="2"/>
    </row>
    <row r="43" spans="1:365" ht="14.25" x14ac:dyDescent="0.2">
      <c r="A43" s="50" t="s">
        <v>35</v>
      </c>
      <c r="B43" s="73">
        <v>1.6</v>
      </c>
      <c r="C43" s="74">
        <f>C44+C45+C46+C47+C48</f>
        <v>3946359.3</v>
      </c>
      <c r="D43" s="75">
        <f>D44+D45+D46+D47+D48</f>
        <v>0</v>
      </c>
      <c r="E43" s="75">
        <f t="shared" ref="E43:BP43" si="36">E44+E45+E46+E47+E48</f>
        <v>0</v>
      </c>
      <c r="F43" s="75">
        <f t="shared" si="36"/>
        <v>28000</v>
      </c>
      <c r="G43" s="75">
        <f t="shared" si="36"/>
        <v>0</v>
      </c>
      <c r="H43" s="75">
        <f t="shared" si="36"/>
        <v>0</v>
      </c>
      <c r="I43" s="75">
        <f t="shared" si="36"/>
        <v>0</v>
      </c>
      <c r="J43" s="75">
        <f t="shared" si="36"/>
        <v>0</v>
      </c>
      <c r="K43" s="75">
        <f t="shared" si="36"/>
        <v>0</v>
      </c>
      <c r="L43" s="75">
        <f t="shared" si="36"/>
        <v>21500</v>
      </c>
      <c r="M43" s="75">
        <f t="shared" si="36"/>
        <v>0</v>
      </c>
      <c r="N43" s="75">
        <f t="shared" si="36"/>
        <v>0</v>
      </c>
      <c r="O43" s="75">
        <f t="shared" si="36"/>
        <v>0</v>
      </c>
      <c r="P43" s="75">
        <f t="shared" si="36"/>
        <v>0</v>
      </c>
      <c r="Q43" s="75">
        <f t="shared" si="36"/>
        <v>0</v>
      </c>
      <c r="R43" s="75">
        <f t="shared" si="36"/>
        <v>0</v>
      </c>
      <c r="S43" s="75">
        <f t="shared" si="36"/>
        <v>0</v>
      </c>
      <c r="T43" s="75">
        <f t="shared" si="36"/>
        <v>0</v>
      </c>
      <c r="U43" s="75">
        <f t="shared" si="36"/>
        <v>0</v>
      </c>
      <c r="V43" s="75">
        <f t="shared" si="36"/>
        <v>0</v>
      </c>
      <c r="W43" s="75">
        <f t="shared" si="36"/>
        <v>2000</v>
      </c>
      <c r="X43" s="75">
        <f t="shared" si="36"/>
        <v>0</v>
      </c>
      <c r="Y43" s="75">
        <f t="shared" si="36"/>
        <v>0</v>
      </c>
      <c r="Z43" s="75">
        <f t="shared" si="36"/>
        <v>350</v>
      </c>
      <c r="AA43" s="75">
        <f t="shared" si="36"/>
        <v>0</v>
      </c>
      <c r="AB43" s="75">
        <f t="shared" si="36"/>
        <v>18000</v>
      </c>
      <c r="AC43" s="75">
        <f t="shared" si="36"/>
        <v>0</v>
      </c>
      <c r="AD43" s="75">
        <f t="shared" si="36"/>
        <v>0</v>
      </c>
      <c r="AE43" s="75">
        <f t="shared" si="36"/>
        <v>0</v>
      </c>
      <c r="AF43" s="75">
        <f t="shared" si="36"/>
        <v>0</v>
      </c>
      <c r="AG43" s="75">
        <f t="shared" si="36"/>
        <v>0</v>
      </c>
      <c r="AH43" s="75">
        <f t="shared" si="36"/>
        <v>0</v>
      </c>
      <c r="AI43" s="75">
        <f t="shared" si="36"/>
        <v>0</v>
      </c>
      <c r="AJ43" s="75">
        <f t="shared" si="36"/>
        <v>0</v>
      </c>
      <c r="AK43" s="75">
        <f t="shared" si="36"/>
        <v>0</v>
      </c>
      <c r="AL43" s="75">
        <f t="shared" si="36"/>
        <v>190</v>
      </c>
      <c r="AM43" s="75">
        <f t="shared" si="36"/>
        <v>5000</v>
      </c>
      <c r="AN43" s="75">
        <f t="shared" si="36"/>
        <v>0</v>
      </c>
      <c r="AO43" s="75">
        <f t="shared" si="36"/>
        <v>0</v>
      </c>
      <c r="AP43" s="75">
        <f t="shared" si="36"/>
        <v>0</v>
      </c>
      <c r="AQ43" s="75">
        <f t="shared" si="36"/>
        <v>0</v>
      </c>
      <c r="AR43" s="75">
        <f t="shared" si="36"/>
        <v>172218</v>
      </c>
      <c r="AS43" s="75">
        <f t="shared" si="36"/>
        <v>509500</v>
      </c>
      <c r="AT43" s="75">
        <f t="shared" si="36"/>
        <v>0</v>
      </c>
      <c r="AU43" s="75">
        <f t="shared" si="36"/>
        <v>0</v>
      </c>
      <c r="AV43" s="75">
        <f t="shared" si="36"/>
        <v>0</v>
      </c>
      <c r="AW43" s="75">
        <f t="shared" si="36"/>
        <v>0</v>
      </c>
      <c r="AX43" s="75">
        <f t="shared" si="36"/>
        <v>500</v>
      </c>
      <c r="AY43" s="75">
        <f t="shared" si="36"/>
        <v>20000</v>
      </c>
      <c r="AZ43" s="75">
        <f t="shared" si="36"/>
        <v>0</v>
      </c>
      <c r="BA43" s="75">
        <f t="shared" si="36"/>
        <v>0</v>
      </c>
      <c r="BB43" s="75">
        <f t="shared" si="36"/>
        <v>1200</v>
      </c>
      <c r="BC43" s="75">
        <f t="shared" si="36"/>
        <v>0</v>
      </c>
      <c r="BD43" s="75">
        <f t="shared" si="36"/>
        <v>0</v>
      </c>
      <c r="BE43" s="75">
        <f t="shared" si="36"/>
        <v>250</v>
      </c>
      <c r="BF43" s="75">
        <f t="shared" si="36"/>
        <v>500</v>
      </c>
      <c r="BG43" s="75">
        <f t="shared" si="36"/>
        <v>500</v>
      </c>
      <c r="BH43" s="75">
        <f t="shared" si="36"/>
        <v>0</v>
      </c>
      <c r="BI43" s="75">
        <f t="shared" si="36"/>
        <v>0</v>
      </c>
      <c r="BJ43" s="75">
        <f t="shared" si="36"/>
        <v>5000</v>
      </c>
      <c r="BK43" s="75">
        <f t="shared" si="36"/>
        <v>0</v>
      </c>
      <c r="BL43" s="75">
        <f t="shared" si="36"/>
        <v>10000</v>
      </c>
      <c r="BM43" s="75">
        <f t="shared" si="36"/>
        <v>3000</v>
      </c>
      <c r="BN43" s="75">
        <f t="shared" si="36"/>
        <v>1300</v>
      </c>
      <c r="BO43" s="75">
        <f t="shared" si="36"/>
        <v>0</v>
      </c>
      <c r="BP43" s="75">
        <f t="shared" si="36"/>
        <v>0</v>
      </c>
      <c r="BQ43" s="75">
        <f t="shared" ref="BQ43:EB43" si="37">BQ44+BQ45+BQ46+BQ47+BQ48</f>
        <v>1000</v>
      </c>
      <c r="BR43" s="75">
        <f t="shared" si="37"/>
        <v>0</v>
      </c>
      <c r="BS43" s="75">
        <f t="shared" si="37"/>
        <v>0</v>
      </c>
      <c r="BT43" s="75">
        <f t="shared" si="37"/>
        <v>1200</v>
      </c>
      <c r="BU43" s="75">
        <f t="shared" si="37"/>
        <v>0</v>
      </c>
      <c r="BV43" s="75">
        <f t="shared" si="37"/>
        <v>0</v>
      </c>
      <c r="BW43" s="75">
        <f t="shared" si="37"/>
        <v>0</v>
      </c>
      <c r="BX43" s="75">
        <f t="shared" si="37"/>
        <v>0</v>
      </c>
      <c r="BY43" s="75">
        <f t="shared" si="37"/>
        <v>0</v>
      </c>
      <c r="BZ43" s="75">
        <f t="shared" si="37"/>
        <v>0</v>
      </c>
      <c r="CA43" s="75">
        <f t="shared" si="37"/>
        <v>0</v>
      </c>
      <c r="CB43" s="75">
        <f t="shared" si="37"/>
        <v>0</v>
      </c>
      <c r="CC43" s="75">
        <f t="shared" si="37"/>
        <v>0</v>
      </c>
      <c r="CD43" s="75">
        <f t="shared" si="37"/>
        <v>0</v>
      </c>
      <c r="CE43" s="75">
        <f t="shared" si="37"/>
        <v>0</v>
      </c>
      <c r="CF43" s="75">
        <f t="shared" si="37"/>
        <v>0</v>
      </c>
      <c r="CG43" s="75">
        <f t="shared" si="37"/>
        <v>0</v>
      </c>
      <c r="CH43" s="75">
        <f t="shared" si="37"/>
        <v>2000</v>
      </c>
      <c r="CI43" s="75">
        <f t="shared" si="37"/>
        <v>0</v>
      </c>
      <c r="CJ43" s="75">
        <f t="shared" si="37"/>
        <v>2000</v>
      </c>
      <c r="CK43" s="75">
        <f t="shared" si="37"/>
        <v>0</v>
      </c>
      <c r="CL43" s="75">
        <f t="shared" si="37"/>
        <v>0</v>
      </c>
      <c r="CM43" s="75">
        <f t="shared" si="37"/>
        <v>5000</v>
      </c>
      <c r="CN43" s="75">
        <f t="shared" si="37"/>
        <v>0</v>
      </c>
      <c r="CO43" s="75">
        <f t="shared" si="37"/>
        <v>0</v>
      </c>
      <c r="CP43" s="75">
        <f t="shared" si="37"/>
        <v>5500</v>
      </c>
      <c r="CQ43" s="75">
        <f t="shared" si="37"/>
        <v>0</v>
      </c>
      <c r="CR43" s="75">
        <f t="shared" si="37"/>
        <v>0</v>
      </c>
      <c r="CS43" s="75">
        <f t="shared" si="37"/>
        <v>500</v>
      </c>
      <c r="CT43" s="75">
        <f t="shared" si="37"/>
        <v>0</v>
      </c>
      <c r="CU43" s="75">
        <f t="shared" si="37"/>
        <v>0</v>
      </c>
      <c r="CV43" s="75">
        <f t="shared" si="37"/>
        <v>0</v>
      </c>
      <c r="CW43" s="75">
        <f t="shared" si="37"/>
        <v>1000</v>
      </c>
      <c r="CX43" s="75">
        <f t="shared" si="37"/>
        <v>0</v>
      </c>
      <c r="CY43" s="75">
        <f t="shared" si="37"/>
        <v>3000</v>
      </c>
      <c r="CZ43" s="75">
        <f t="shared" si="37"/>
        <v>0</v>
      </c>
      <c r="DA43" s="75">
        <f t="shared" si="37"/>
        <v>0</v>
      </c>
      <c r="DB43" s="75">
        <f t="shared" si="37"/>
        <v>0</v>
      </c>
      <c r="DC43" s="75">
        <f t="shared" si="37"/>
        <v>0</v>
      </c>
      <c r="DD43" s="75">
        <f t="shared" si="37"/>
        <v>0</v>
      </c>
      <c r="DE43" s="75">
        <f t="shared" si="37"/>
        <v>0</v>
      </c>
      <c r="DF43" s="75">
        <f t="shared" si="37"/>
        <v>0</v>
      </c>
      <c r="DG43" s="75">
        <f t="shared" si="37"/>
        <v>0</v>
      </c>
      <c r="DH43" s="75">
        <f t="shared" si="37"/>
        <v>4200</v>
      </c>
      <c r="DI43" s="75">
        <f t="shared" si="37"/>
        <v>0</v>
      </c>
      <c r="DJ43" s="75">
        <f t="shared" si="37"/>
        <v>0</v>
      </c>
      <c r="DK43" s="75">
        <f t="shared" si="37"/>
        <v>11000</v>
      </c>
      <c r="DL43" s="75">
        <f t="shared" si="37"/>
        <v>0</v>
      </c>
      <c r="DM43" s="75">
        <f t="shared" si="37"/>
        <v>0</v>
      </c>
      <c r="DN43" s="75">
        <f t="shared" si="37"/>
        <v>3719.7</v>
      </c>
      <c r="DO43" s="75">
        <f t="shared" si="37"/>
        <v>0</v>
      </c>
      <c r="DP43" s="75">
        <f t="shared" si="37"/>
        <v>0</v>
      </c>
      <c r="DQ43" s="75">
        <f t="shared" si="37"/>
        <v>1000</v>
      </c>
      <c r="DR43" s="75">
        <f t="shared" si="37"/>
        <v>0</v>
      </c>
      <c r="DS43" s="75">
        <f t="shared" si="37"/>
        <v>0</v>
      </c>
      <c r="DT43" s="75">
        <f t="shared" si="37"/>
        <v>15000</v>
      </c>
      <c r="DU43" s="75">
        <f t="shared" si="37"/>
        <v>0</v>
      </c>
      <c r="DV43" s="75">
        <f t="shared" si="37"/>
        <v>0</v>
      </c>
      <c r="DW43" s="75">
        <f t="shared" si="37"/>
        <v>0</v>
      </c>
      <c r="DX43" s="75">
        <f t="shared" si="37"/>
        <v>0</v>
      </c>
      <c r="DY43" s="75">
        <f t="shared" si="37"/>
        <v>0</v>
      </c>
      <c r="DZ43" s="75">
        <f t="shared" si="37"/>
        <v>0</v>
      </c>
      <c r="EA43" s="75">
        <f t="shared" si="37"/>
        <v>0</v>
      </c>
      <c r="EB43" s="75">
        <f t="shared" si="37"/>
        <v>38379</v>
      </c>
      <c r="EC43" s="75">
        <f t="shared" ref="EC43:GD43" si="38">EC44+EC45+EC46+EC47+EC48</f>
        <v>0</v>
      </c>
      <c r="ED43" s="75">
        <f t="shared" si="38"/>
        <v>0</v>
      </c>
      <c r="EE43" s="75">
        <f t="shared" si="38"/>
        <v>0</v>
      </c>
      <c r="EF43" s="75">
        <f t="shared" si="38"/>
        <v>3800</v>
      </c>
      <c r="EG43" s="75">
        <f t="shared" si="38"/>
        <v>0</v>
      </c>
      <c r="EH43" s="75">
        <f t="shared" si="38"/>
        <v>0</v>
      </c>
      <c r="EI43" s="75">
        <f t="shared" si="38"/>
        <v>0</v>
      </c>
      <c r="EJ43" s="75">
        <f t="shared" si="38"/>
        <v>0</v>
      </c>
      <c r="EK43" s="75">
        <f t="shared" si="38"/>
        <v>0</v>
      </c>
      <c r="EL43" s="75">
        <f t="shared" si="38"/>
        <v>0</v>
      </c>
      <c r="EM43" s="75">
        <f t="shared" si="38"/>
        <v>0</v>
      </c>
      <c r="EN43" s="75">
        <f t="shared" si="38"/>
        <v>117520</v>
      </c>
      <c r="EO43" s="75">
        <f t="shared" si="38"/>
        <v>0</v>
      </c>
      <c r="EP43" s="75">
        <f t="shared" si="38"/>
        <v>0</v>
      </c>
      <c r="EQ43" s="75">
        <f t="shared" si="38"/>
        <v>0</v>
      </c>
      <c r="ER43" s="75">
        <f t="shared" si="38"/>
        <v>0</v>
      </c>
      <c r="ES43" s="75">
        <f t="shared" si="38"/>
        <v>0</v>
      </c>
      <c r="ET43" s="75">
        <f t="shared" si="38"/>
        <v>0</v>
      </c>
      <c r="EU43" s="75">
        <f t="shared" si="38"/>
        <v>0</v>
      </c>
      <c r="EV43" s="75">
        <f t="shared" si="38"/>
        <v>0</v>
      </c>
      <c r="EW43" s="75">
        <f t="shared" si="38"/>
        <v>3174.4</v>
      </c>
      <c r="EX43" s="75">
        <f t="shared" si="38"/>
        <v>500</v>
      </c>
      <c r="EY43" s="75">
        <f t="shared" si="38"/>
        <v>10000</v>
      </c>
      <c r="EZ43" s="75">
        <f t="shared" si="38"/>
        <v>0</v>
      </c>
      <c r="FA43" s="75">
        <f t="shared" si="38"/>
        <v>0</v>
      </c>
      <c r="FB43" s="75">
        <f t="shared" si="38"/>
        <v>0</v>
      </c>
      <c r="FC43" s="75">
        <f t="shared" si="38"/>
        <v>10000</v>
      </c>
      <c r="FD43" s="75">
        <f t="shared" si="38"/>
        <v>0</v>
      </c>
      <c r="FE43" s="75">
        <f t="shared" si="38"/>
        <v>0</v>
      </c>
      <c r="FF43" s="75">
        <f t="shared" si="38"/>
        <v>0</v>
      </c>
      <c r="FG43" s="75">
        <f t="shared" si="38"/>
        <v>0</v>
      </c>
      <c r="FH43" s="75">
        <f t="shared" si="38"/>
        <v>0</v>
      </c>
      <c r="FI43" s="75">
        <f t="shared" si="38"/>
        <v>0</v>
      </c>
      <c r="FJ43" s="75">
        <f t="shared" si="38"/>
        <v>0</v>
      </c>
      <c r="FK43" s="75">
        <f t="shared" si="38"/>
        <v>0</v>
      </c>
      <c r="FL43" s="75">
        <f t="shared" si="38"/>
        <v>0</v>
      </c>
      <c r="FM43" s="75">
        <f t="shared" si="38"/>
        <v>0</v>
      </c>
      <c r="FN43" s="75">
        <f t="shared" si="38"/>
        <v>0</v>
      </c>
      <c r="FO43" s="75">
        <f t="shared" si="38"/>
        <v>0</v>
      </c>
      <c r="FP43" s="75">
        <f t="shared" si="38"/>
        <v>0</v>
      </c>
      <c r="FQ43" s="75">
        <f t="shared" si="38"/>
        <v>10000</v>
      </c>
      <c r="FR43" s="74">
        <f t="shared" si="38"/>
        <v>28600</v>
      </c>
      <c r="FS43" s="75">
        <f t="shared" si="38"/>
        <v>0</v>
      </c>
      <c r="FT43" s="75">
        <f t="shared" si="38"/>
        <v>8920</v>
      </c>
      <c r="FU43" s="75">
        <f t="shared" si="38"/>
        <v>0</v>
      </c>
      <c r="FV43" s="75">
        <f t="shared" si="38"/>
        <v>0</v>
      </c>
      <c r="FW43" s="75">
        <f t="shared" si="38"/>
        <v>0</v>
      </c>
      <c r="FX43" s="75">
        <f t="shared" si="38"/>
        <v>6750</v>
      </c>
      <c r="FY43" s="75">
        <f t="shared" si="38"/>
        <v>1500</v>
      </c>
      <c r="FZ43" s="75">
        <f t="shared" si="38"/>
        <v>0</v>
      </c>
      <c r="GA43" s="75">
        <f t="shared" si="38"/>
        <v>0</v>
      </c>
      <c r="GB43" s="75">
        <f t="shared" si="38"/>
        <v>0</v>
      </c>
      <c r="GC43" s="75">
        <f t="shared" si="38"/>
        <v>0</v>
      </c>
      <c r="GD43" s="75">
        <f t="shared" si="38"/>
        <v>0</v>
      </c>
      <c r="GE43" s="75">
        <f>GE44+GE45+GE46+GE47+GE48</f>
        <v>0</v>
      </c>
      <c r="GF43" s="75">
        <f>GF44+GF45+GF46+GF47+GF48</f>
        <v>0</v>
      </c>
      <c r="GG43" s="75">
        <f>GG44+GG45+GG46+GG47+GG48</f>
        <v>0</v>
      </c>
      <c r="GH43" s="75">
        <f t="shared" ref="GH43:IS43" si="39">GH44+GH45+GH46+GH47+GH48</f>
        <v>0</v>
      </c>
      <c r="GI43" s="75">
        <f t="shared" si="39"/>
        <v>0</v>
      </c>
      <c r="GJ43" s="75">
        <f t="shared" si="39"/>
        <v>0</v>
      </c>
      <c r="GK43" s="75">
        <f t="shared" si="39"/>
        <v>0</v>
      </c>
      <c r="GL43" s="75">
        <f t="shared" si="39"/>
        <v>0</v>
      </c>
      <c r="GM43" s="75">
        <f t="shared" si="39"/>
        <v>0</v>
      </c>
      <c r="GN43" s="75">
        <f t="shared" si="39"/>
        <v>0</v>
      </c>
      <c r="GO43" s="75">
        <f t="shared" si="39"/>
        <v>0</v>
      </c>
      <c r="GP43" s="75">
        <f t="shared" si="39"/>
        <v>0</v>
      </c>
      <c r="GQ43" s="75">
        <f t="shared" si="39"/>
        <v>2500</v>
      </c>
      <c r="GR43" s="75">
        <f t="shared" si="39"/>
        <v>0</v>
      </c>
      <c r="GS43" s="75">
        <f t="shared" si="39"/>
        <v>0</v>
      </c>
      <c r="GT43" s="75">
        <f t="shared" si="39"/>
        <v>0</v>
      </c>
      <c r="GU43" s="75">
        <f t="shared" si="39"/>
        <v>0</v>
      </c>
      <c r="GV43" s="75">
        <f t="shared" si="39"/>
        <v>0</v>
      </c>
      <c r="GW43" s="75">
        <f t="shared" si="39"/>
        <v>0</v>
      </c>
      <c r="GX43" s="75">
        <f t="shared" si="39"/>
        <v>2497</v>
      </c>
      <c r="GY43" s="75">
        <f t="shared" si="39"/>
        <v>0</v>
      </c>
      <c r="GZ43" s="75">
        <f t="shared" si="39"/>
        <v>0</v>
      </c>
      <c r="HA43" s="75">
        <f t="shared" si="39"/>
        <v>0</v>
      </c>
      <c r="HB43" s="75">
        <f t="shared" si="39"/>
        <v>0</v>
      </c>
      <c r="HC43" s="75">
        <f t="shared" si="39"/>
        <v>0</v>
      </c>
      <c r="HD43" s="75">
        <f t="shared" si="39"/>
        <v>0</v>
      </c>
      <c r="HE43" s="75">
        <f t="shared" si="39"/>
        <v>0</v>
      </c>
      <c r="HF43" s="75">
        <f t="shared" si="39"/>
        <v>0</v>
      </c>
      <c r="HG43" s="75">
        <f t="shared" si="39"/>
        <v>0</v>
      </c>
      <c r="HH43" s="75">
        <f t="shared" si="39"/>
        <v>0</v>
      </c>
      <c r="HI43" s="75">
        <f t="shared" si="39"/>
        <v>0</v>
      </c>
      <c r="HJ43" s="75">
        <f t="shared" si="39"/>
        <v>0</v>
      </c>
      <c r="HK43" s="75">
        <f t="shared" si="39"/>
        <v>0</v>
      </c>
      <c r="HL43" s="75">
        <f t="shared" si="39"/>
        <v>0</v>
      </c>
      <c r="HM43" s="75">
        <f t="shared" si="39"/>
        <v>2915</v>
      </c>
      <c r="HN43" s="75">
        <f t="shared" si="39"/>
        <v>0</v>
      </c>
      <c r="HO43" s="75">
        <f t="shared" si="39"/>
        <v>0</v>
      </c>
      <c r="HP43" s="75">
        <f t="shared" si="39"/>
        <v>0</v>
      </c>
      <c r="HQ43" s="75">
        <f t="shared" si="39"/>
        <v>0</v>
      </c>
      <c r="HR43" s="75">
        <f t="shared" si="39"/>
        <v>0</v>
      </c>
      <c r="HS43" s="75">
        <f t="shared" si="39"/>
        <v>0</v>
      </c>
      <c r="HT43" s="75">
        <f t="shared" si="39"/>
        <v>0</v>
      </c>
      <c r="HU43" s="75">
        <f t="shared" si="39"/>
        <v>0</v>
      </c>
      <c r="HV43" s="75">
        <f t="shared" si="39"/>
        <v>0</v>
      </c>
      <c r="HW43" s="75">
        <f t="shared" si="39"/>
        <v>0</v>
      </c>
      <c r="HX43" s="75">
        <f t="shared" si="39"/>
        <v>10500</v>
      </c>
      <c r="HY43" s="75">
        <f t="shared" si="39"/>
        <v>0</v>
      </c>
      <c r="HZ43" s="75">
        <f t="shared" si="39"/>
        <v>0</v>
      </c>
      <c r="IA43" s="75">
        <f t="shared" si="39"/>
        <v>0</v>
      </c>
      <c r="IB43" s="75">
        <f t="shared" si="39"/>
        <v>3500</v>
      </c>
      <c r="IC43" s="75">
        <f t="shared" si="39"/>
        <v>0</v>
      </c>
      <c r="ID43" s="75">
        <f t="shared" si="39"/>
        <v>0</v>
      </c>
      <c r="IE43" s="75">
        <f t="shared" si="39"/>
        <v>0</v>
      </c>
      <c r="IF43" s="75">
        <f t="shared" si="39"/>
        <v>0</v>
      </c>
      <c r="IG43" s="75">
        <f t="shared" si="39"/>
        <v>0</v>
      </c>
      <c r="IH43" s="75">
        <f t="shared" si="39"/>
        <v>1250</v>
      </c>
      <c r="II43" s="75">
        <f t="shared" si="39"/>
        <v>0</v>
      </c>
      <c r="IJ43" s="75">
        <f t="shared" si="39"/>
        <v>0</v>
      </c>
      <c r="IK43" s="75">
        <f t="shared" si="39"/>
        <v>5420</v>
      </c>
      <c r="IL43" s="75">
        <f t="shared" si="39"/>
        <v>0</v>
      </c>
      <c r="IM43" s="75">
        <f t="shared" si="39"/>
        <v>0</v>
      </c>
      <c r="IN43" s="75">
        <f t="shared" si="39"/>
        <v>0</v>
      </c>
      <c r="IO43" s="75">
        <f t="shared" si="39"/>
        <v>0</v>
      </c>
      <c r="IP43" s="75">
        <f t="shared" si="39"/>
        <v>1000</v>
      </c>
      <c r="IQ43" s="75">
        <f t="shared" si="39"/>
        <v>0</v>
      </c>
      <c r="IR43" s="75">
        <f t="shared" si="39"/>
        <v>0</v>
      </c>
      <c r="IS43" s="75">
        <f t="shared" si="39"/>
        <v>0</v>
      </c>
      <c r="IT43" s="75">
        <f t="shared" ref="IT43:LE43" si="40">IT44+IT45+IT46+IT47+IT48</f>
        <v>0</v>
      </c>
      <c r="IU43" s="75">
        <f t="shared" si="40"/>
        <v>7000</v>
      </c>
      <c r="IV43" s="75">
        <f t="shared" si="40"/>
        <v>0</v>
      </c>
      <c r="IW43" s="75">
        <f t="shared" si="40"/>
        <v>0</v>
      </c>
      <c r="IX43" s="75">
        <f t="shared" si="40"/>
        <v>0</v>
      </c>
      <c r="IY43" s="75">
        <f t="shared" si="40"/>
        <v>0</v>
      </c>
      <c r="IZ43" s="75">
        <f t="shared" si="40"/>
        <v>0</v>
      </c>
      <c r="JA43" s="75">
        <f t="shared" si="40"/>
        <v>0</v>
      </c>
      <c r="JB43" s="75">
        <f t="shared" si="40"/>
        <v>0</v>
      </c>
      <c r="JC43" s="75">
        <f t="shared" si="40"/>
        <v>0</v>
      </c>
      <c r="JD43" s="75">
        <f t="shared" si="40"/>
        <v>0</v>
      </c>
      <c r="JE43" s="75">
        <f t="shared" si="40"/>
        <v>0</v>
      </c>
      <c r="JF43" s="75">
        <f t="shared" si="40"/>
        <v>0</v>
      </c>
      <c r="JG43" s="75">
        <f t="shared" si="40"/>
        <v>0</v>
      </c>
      <c r="JH43" s="75">
        <f t="shared" si="40"/>
        <v>0</v>
      </c>
      <c r="JI43" s="75">
        <f t="shared" si="40"/>
        <v>0</v>
      </c>
      <c r="JJ43" s="75">
        <f t="shared" si="40"/>
        <v>5250</v>
      </c>
      <c r="JK43" s="75">
        <f t="shared" si="40"/>
        <v>0</v>
      </c>
      <c r="JL43" s="75">
        <f t="shared" si="40"/>
        <v>2000</v>
      </c>
      <c r="JM43" s="75">
        <f t="shared" si="40"/>
        <v>0</v>
      </c>
      <c r="JN43" s="75">
        <f t="shared" si="40"/>
        <v>3000</v>
      </c>
      <c r="JO43" s="75">
        <f t="shared" si="40"/>
        <v>1446</v>
      </c>
      <c r="JP43" s="75">
        <f t="shared" si="40"/>
        <v>0</v>
      </c>
      <c r="JQ43" s="75">
        <f t="shared" si="40"/>
        <v>0</v>
      </c>
      <c r="JR43" s="75">
        <f t="shared" si="40"/>
        <v>0</v>
      </c>
      <c r="JS43" s="75">
        <f t="shared" si="40"/>
        <v>0</v>
      </c>
      <c r="JT43" s="75">
        <f t="shared" si="40"/>
        <v>1900</v>
      </c>
      <c r="JU43" s="75">
        <f t="shared" si="40"/>
        <v>0</v>
      </c>
      <c r="JV43" s="75">
        <f t="shared" si="40"/>
        <v>0</v>
      </c>
      <c r="JW43" s="75">
        <f t="shared" si="40"/>
        <v>0</v>
      </c>
      <c r="JX43" s="75">
        <f t="shared" si="40"/>
        <v>0</v>
      </c>
      <c r="JY43" s="75">
        <f t="shared" si="40"/>
        <v>0</v>
      </c>
      <c r="JZ43" s="75">
        <f t="shared" si="40"/>
        <v>0</v>
      </c>
      <c r="KA43" s="75">
        <f t="shared" si="40"/>
        <v>0</v>
      </c>
      <c r="KB43" s="75">
        <f t="shared" si="40"/>
        <v>0</v>
      </c>
      <c r="KC43" s="75">
        <f t="shared" si="40"/>
        <v>0</v>
      </c>
      <c r="KD43" s="75">
        <f t="shared" si="40"/>
        <v>0</v>
      </c>
      <c r="KE43" s="75">
        <f t="shared" si="40"/>
        <v>0</v>
      </c>
      <c r="KF43" s="75">
        <f t="shared" si="40"/>
        <v>0</v>
      </c>
      <c r="KG43" s="75">
        <f t="shared" si="40"/>
        <v>0</v>
      </c>
      <c r="KH43" s="75">
        <f t="shared" si="40"/>
        <v>0</v>
      </c>
      <c r="KI43" s="75">
        <f t="shared" si="40"/>
        <v>0</v>
      </c>
      <c r="KJ43" s="75">
        <f t="shared" si="40"/>
        <v>0</v>
      </c>
      <c r="KK43" s="75">
        <f t="shared" si="40"/>
        <v>0</v>
      </c>
      <c r="KL43" s="75">
        <f t="shared" si="40"/>
        <v>0</v>
      </c>
      <c r="KM43" s="75">
        <f t="shared" si="40"/>
        <v>0</v>
      </c>
      <c r="KN43" s="75">
        <f t="shared" si="40"/>
        <v>0</v>
      </c>
      <c r="KO43" s="75">
        <f t="shared" si="40"/>
        <v>0</v>
      </c>
      <c r="KP43" s="75">
        <f t="shared" si="40"/>
        <v>2000</v>
      </c>
      <c r="KQ43" s="75">
        <f t="shared" si="40"/>
        <v>0</v>
      </c>
      <c r="KR43" s="75">
        <f t="shared" si="40"/>
        <v>0</v>
      </c>
      <c r="KS43" s="75">
        <f t="shared" si="40"/>
        <v>0</v>
      </c>
      <c r="KT43" s="75">
        <f t="shared" si="40"/>
        <v>0</v>
      </c>
      <c r="KU43" s="75">
        <f t="shared" si="40"/>
        <v>0</v>
      </c>
      <c r="KV43" s="75">
        <f t="shared" si="40"/>
        <v>0</v>
      </c>
      <c r="KW43" s="75">
        <f t="shared" si="40"/>
        <v>851.5</v>
      </c>
      <c r="KX43" s="75">
        <f t="shared" si="40"/>
        <v>0</v>
      </c>
      <c r="KY43" s="75">
        <f t="shared" si="40"/>
        <v>0</v>
      </c>
      <c r="KZ43" s="75">
        <f t="shared" si="40"/>
        <v>0</v>
      </c>
      <c r="LA43" s="75">
        <f t="shared" si="40"/>
        <v>0</v>
      </c>
      <c r="LB43" s="75">
        <f t="shared" si="40"/>
        <v>0</v>
      </c>
      <c r="LC43" s="75">
        <f t="shared" si="40"/>
        <v>0</v>
      </c>
      <c r="LD43" s="75">
        <f t="shared" si="40"/>
        <v>0</v>
      </c>
      <c r="LE43" s="75">
        <f t="shared" si="40"/>
        <v>0</v>
      </c>
      <c r="LF43" s="75">
        <f t="shared" ref="LF43:MW43" si="41">LF44+LF45+LF46+LF47+LF48</f>
        <v>26140</v>
      </c>
      <c r="LG43" s="75">
        <f t="shared" si="41"/>
        <v>0</v>
      </c>
      <c r="LH43" s="75">
        <f t="shared" si="41"/>
        <v>0</v>
      </c>
      <c r="LI43" s="75">
        <f t="shared" si="41"/>
        <v>0</v>
      </c>
      <c r="LJ43" s="75">
        <f t="shared" si="41"/>
        <v>0</v>
      </c>
      <c r="LK43" s="75">
        <f t="shared" si="41"/>
        <v>0</v>
      </c>
      <c r="LL43" s="75">
        <f t="shared" si="41"/>
        <v>0</v>
      </c>
      <c r="LM43" s="75">
        <f t="shared" si="41"/>
        <v>0</v>
      </c>
      <c r="LN43" s="75">
        <f t="shared" si="41"/>
        <v>0</v>
      </c>
      <c r="LO43" s="75">
        <f t="shared" si="41"/>
        <v>0</v>
      </c>
      <c r="LP43" s="75">
        <f t="shared" si="41"/>
        <v>0</v>
      </c>
      <c r="LQ43" s="75">
        <f t="shared" si="41"/>
        <v>0</v>
      </c>
      <c r="LR43" s="75">
        <f t="shared" si="41"/>
        <v>0</v>
      </c>
      <c r="LS43" s="75">
        <f t="shared" si="41"/>
        <v>0</v>
      </c>
      <c r="LT43" s="75">
        <f t="shared" si="41"/>
        <v>0</v>
      </c>
      <c r="LU43" s="75">
        <f t="shared" si="41"/>
        <v>0</v>
      </c>
      <c r="LV43" s="75">
        <f t="shared" si="41"/>
        <v>250</v>
      </c>
      <c r="LW43" s="75">
        <f t="shared" si="41"/>
        <v>0</v>
      </c>
      <c r="LX43" s="75">
        <f t="shared" si="41"/>
        <v>0</v>
      </c>
      <c r="LY43" s="75">
        <f t="shared" si="41"/>
        <v>0</v>
      </c>
      <c r="LZ43" s="75">
        <f t="shared" si="41"/>
        <v>0</v>
      </c>
      <c r="MA43" s="75">
        <f t="shared" si="41"/>
        <v>0</v>
      </c>
      <c r="MB43" s="75">
        <f t="shared" si="41"/>
        <v>0</v>
      </c>
      <c r="MC43" s="75">
        <f t="shared" si="41"/>
        <v>0</v>
      </c>
      <c r="MD43" s="75">
        <f t="shared" si="41"/>
        <v>3000</v>
      </c>
      <c r="ME43" s="75">
        <f t="shared" si="41"/>
        <v>0</v>
      </c>
      <c r="MF43" s="75">
        <f t="shared" si="41"/>
        <v>0</v>
      </c>
      <c r="MG43" s="75">
        <f t="shared" si="41"/>
        <v>0</v>
      </c>
      <c r="MH43" s="75">
        <f t="shared" si="41"/>
        <v>0</v>
      </c>
      <c r="MI43" s="75">
        <f t="shared" si="41"/>
        <v>0</v>
      </c>
      <c r="MJ43" s="75">
        <f t="shared" si="41"/>
        <v>0</v>
      </c>
      <c r="MK43" s="75">
        <f t="shared" si="41"/>
        <v>2000</v>
      </c>
      <c r="ML43" s="75">
        <f t="shared" si="41"/>
        <v>2767668.7</v>
      </c>
      <c r="MM43" s="75">
        <f t="shared" si="41"/>
        <v>0</v>
      </c>
      <c r="MN43" s="75">
        <f t="shared" si="41"/>
        <v>0</v>
      </c>
      <c r="MO43" s="75">
        <f t="shared" si="41"/>
        <v>0</v>
      </c>
      <c r="MP43" s="75">
        <f t="shared" si="41"/>
        <v>0</v>
      </c>
      <c r="MQ43" s="75">
        <f t="shared" si="41"/>
        <v>0</v>
      </c>
      <c r="MR43" s="75">
        <f t="shared" si="41"/>
        <v>0</v>
      </c>
      <c r="MS43" s="75">
        <f t="shared" si="41"/>
        <v>0</v>
      </c>
      <c r="MT43" s="75">
        <f t="shared" si="41"/>
        <v>0</v>
      </c>
      <c r="MU43" s="75">
        <f t="shared" si="41"/>
        <v>0</v>
      </c>
      <c r="MV43" s="75">
        <f t="shared" si="41"/>
        <v>0</v>
      </c>
      <c r="MW43" s="75">
        <f t="shared" si="41"/>
        <v>0</v>
      </c>
      <c r="MX43" s="54"/>
      <c r="MY43" s="54"/>
      <c r="MZ43" s="3"/>
      <c r="NA43" s="3"/>
    </row>
    <row r="44" spans="1:365" ht="14.25" x14ac:dyDescent="0.2">
      <c r="A44" s="55" t="s">
        <v>50</v>
      </c>
      <c r="B44" s="55"/>
      <c r="C44" s="56">
        <f t="shared" si="11"/>
        <v>74655.5</v>
      </c>
      <c r="D44" s="76"/>
      <c r="E44" s="76"/>
      <c r="F44" s="76"/>
      <c r="G44" s="76"/>
      <c r="H44" s="76"/>
      <c r="I44" s="76"/>
      <c r="J44" s="76"/>
      <c r="K44" s="70"/>
      <c r="L44" s="70">
        <v>1000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>
        <v>22218</v>
      </c>
      <c r="AS44" s="70">
        <v>12500</v>
      </c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>
        <v>500</v>
      </c>
      <c r="BH44" s="70"/>
      <c r="BI44" s="70"/>
      <c r="BJ44" s="70"/>
      <c r="BK44" s="70"/>
      <c r="BL44" s="70"/>
      <c r="BM44" s="70">
        <v>3000</v>
      </c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>
        <f>5000+500</f>
        <v>5500</v>
      </c>
      <c r="CQ44" s="70"/>
      <c r="CR44" s="70"/>
      <c r="CS44" s="70"/>
      <c r="CT44" s="70"/>
      <c r="CU44" s="70"/>
      <c r="CV44" s="70"/>
      <c r="CW44" s="70">
        <v>1000</v>
      </c>
      <c r="CX44" s="70"/>
      <c r="CY44" s="70">
        <v>3000</v>
      </c>
      <c r="CZ44" s="70"/>
      <c r="DA44" s="70"/>
      <c r="DB44" s="70"/>
      <c r="DC44" s="70"/>
      <c r="DD44" s="70"/>
      <c r="DE44" s="70"/>
      <c r="DF44" s="70"/>
      <c r="DG44" s="70"/>
      <c r="DH44" s="70">
        <v>1500</v>
      </c>
      <c r="DI44" s="70"/>
      <c r="DJ44" s="70"/>
      <c r="DK44" s="70"/>
      <c r="DL44" s="70"/>
      <c r="DM44" s="70"/>
      <c r="DN44" s="70"/>
      <c r="DO44" s="70"/>
      <c r="DP44" s="70"/>
      <c r="DQ44" s="70">
        <v>1000</v>
      </c>
      <c r="DR44" s="70"/>
      <c r="DS44" s="70"/>
      <c r="DT44" s="70">
        <v>3000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>
        <f>3000</f>
        <v>3000</v>
      </c>
      <c r="EO44" s="70"/>
      <c r="EP44" s="70"/>
      <c r="EQ44" s="70"/>
      <c r="ER44" s="70"/>
      <c r="ES44" s="70"/>
      <c r="ET44" s="70"/>
      <c r="EU44" s="70"/>
      <c r="EV44" s="70"/>
      <c r="EW44" s="70">
        <v>500</v>
      </c>
      <c r="EX44" s="70">
        <v>500</v>
      </c>
      <c r="EY44" s="70"/>
      <c r="EZ44" s="70"/>
      <c r="FA44" s="70"/>
      <c r="FB44" s="70"/>
      <c r="FC44" s="70">
        <f>5140+2000</f>
        <v>7140</v>
      </c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7">
        <v>4500</v>
      </c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>
        <v>500</v>
      </c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  <c r="IW44" s="70"/>
      <c r="IX44" s="70"/>
      <c r="IY44" s="70"/>
      <c r="IZ44" s="70"/>
      <c r="JA44" s="70"/>
      <c r="JB44" s="70"/>
      <c r="JC44" s="70"/>
      <c r="JD44" s="70"/>
      <c r="JE44" s="70"/>
      <c r="JF44" s="70"/>
      <c r="JG44" s="70"/>
      <c r="JH44" s="70"/>
      <c r="JI44" s="70"/>
      <c r="JJ44" s="70"/>
      <c r="JK44" s="70"/>
      <c r="JL44" s="70"/>
      <c r="JM44" s="70"/>
      <c r="JN44" s="70"/>
      <c r="JO44" s="70">
        <v>1446</v>
      </c>
      <c r="JP44" s="70"/>
      <c r="JQ44" s="70"/>
      <c r="JR44" s="70"/>
      <c r="JS44" s="70"/>
      <c r="JT44" s="70"/>
      <c r="JU44" s="70"/>
      <c r="JV44" s="70"/>
      <c r="JW44" s="70"/>
      <c r="JX44" s="70"/>
      <c r="JY44" s="70"/>
      <c r="JZ44" s="70"/>
      <c r="KA44" s="70"/>
      <c r="KB44" s="70"/>
      <c r="KC44" s="70"/>
      <c r="KD44" s="70"/>
      <c r="KE44" s="70"/>
      <c r="KF44" s="70"/>
      <c r="KG44" s="70"/>
      <c r="KH44" s="70"/>
      <c r="KI44" s="70"/>
      <c r="KJ44" s="70"/>
      <c r="KK44" s="70"/>
      <c r="KL44" s="70"/>
      <c r="KM44" s="70"/>
      <c r="KN44" s="70"/>
      <c r="KO44" s="70"/>
      <c r="KP44" s="70">
        <f>1000+1000</f>
        <v>2000</v>
      </c>
      <c r="KQ44" s="70"/>
      <c r="KR44" s="70"/>
      <c r="KS44" s="70"/>
      <c r="KT44" s="70"/>
      <c r="KU44" s="70"/>
      <c r="KV44" s="70"/>
      <c r="KW44" s="70">
        <v>851.5</v>
      </c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14"/>
      <c r="MY44" s="14"/>
      <c r="MZ44" s="2"/>
      <c r="NA44" s="2"/>
    </row>
    <row r="45" spans="1:365" ht="14.25" x14ac:dyDescent="0.2">
      <c r="A45" s="55" t="s">
        <v>51</v>
      </c>
      <c r="B45" s="55"/>
      <c r="C45" s="56">
        <f t="shared" si="11"/>
        <v>772096.9</v>
      </c>
      <c r="D45" s="70"/>
      <c r="E45" s="70"/>
      <c r="F45" s="70">
        <f>10000</f>
        <v>10000</v>
      </c>
      <c r="G45" s="70"/>
      <c r="H45" s="70"/>
      <c r="I45" s="70"/>
      <c r="J45" s="70"/>
      <c r="K45" s="70"/>
      <c r="L45" s="70">
        <v>20500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>
        <v>18000</v>
      </c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>
        <f>5000</f>
        <v>5000</v>
      </c>
      <c r="AN45" s="70"/>
      <c r="AO45" s="70"/>
      <c r="AP45" s="70"/>
      <c r="AQ45" s="70"/>
      <c r="AR45" s="70"/>
      <c r="AS45" s="70">
        <v>497000</v>
      </c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>
        <v>2000</v>
      </c>
      <c r="BK45" s="70"/>
      <c r="BL45" s="70">
        <f>10000</f>
        <v>10000</v>
      </c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>
        <f>2000</f>
        <v>2000</v>
      </c>
      <c r="CI45" s="70"/>
      <c r="CJ45" s="70">
        <v>2000</v>
      </c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>
        <f>10000</f>
        <v>10000</v>
      </c>
      <c r="DL45" s="70"/>
      <c r="DM45" s="70"/>
      <c r="DN45" s="70"/>
      <c r="DO45" s="70"/>
      <c r="DP45" s="70"/>
      <c r="DQ45" s="70"/>
      <c r="DR45" s="70"/>
      <c r="DS45" s="70"/>
      <c r="DT45" s="70">
        <v>12000</v>
      </c>
      <c r="DU45" s="70"/>
      <c r="DV45" s="70"/>
      <c r="DW45" s="70"/>
      <c r="DX45" s="70"/>
      <c r="DY45" s="70"/>
      <c r="DZ45" s="70"/>
      <c r="EA45" s="70"/>
      <c r="EB45" s="78">
        <f>13000</f>
        <v>13000</v>
      </c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>
        <f>105831</f>
        <v>105831</v>
      </c>
      <c r="EO45" s="70"/>
      <c r="EP45" s="70"/>
      <c r="EQ45" s="70"/>
      <c r="ER45" s="70"/>
      <c r="ES45" s="70"/>
      <c r="ET45" s="70"/>
      <c r="EU45" s="70"/>
      <c r="EV45" s="70"/>
      <c r="EW45" s="70">
        <v>1000</v>
      </c>
      <c r="EX45" s="70"/>
      <c r="EY45" s="70"/>
      <c r="EZ45" s="70"/>
      <c r="FA45" s="70"/>
      <c r="FB45" s="70"/>
      <c r="FC45" s="70">
        <v>2500</v>
      </c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>
        <v>10000</v>
      </c>
      <c r="FR45" s="77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>
        <v>2000</v>
      </c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>
        <v>10500</v>
      </c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>
        <v>3000</v>
      </c>
      <c r="IL45" s="70"/>
      <c r="IM45" s="70"/>
      <c r="IN45" s="70"/>
      <c r="IO45" s="70"/>
      <c r="IP45" s="70"/>
      <c r="IQ45" s="70"/>
      <c r="IR45" s="70"/>
      <c r="IS45" s="70"/>
      <c r="IT45" s="70"/>
      <c r="IU45" s="70">
        <v>7000</v>
      </c>
      <c r="IV45" s="70"/>
      <c r="IW45" s="70"/>
      <c r="IX45" s="70"/>
      <c r="IY45" s="70"/>
      <c r="IZ45" s="70"/>
      <c r="JA45" s="70"/>
      <c r="JB45" s="70"/>
      <c r="JC45" s="70"/>
      <c r="JD45" s="70"/>
      <c r="JE45" s="70"/>
      <c r="JF45" s="70"/>
      <c r="JG45" s="70"/>
      <c r="JH45" s="70"/>
      <c r="JI45" s="70"/>
      <c r="JJ45" s="70"/>
      <c r="JK45" s="70"/>
      <c r="JL45" s="70">
        <f>2000</f>
        <v>2000</v>
      </c>
      <c r="JM45" s="70"/>
      <c r="JN45" s="70"/>
      <c r="JO45" s="70"/>
      <c r="JP45" s="70"/>
      <c r="JQ45" s="70"/>
      <c r="JR45" s="70"/>
      <c r="JS45" s="70"/>
      <c r="JT45" s="70"/>
      <c r="JU45" s="70"/>
      <c r="JV45" s="70"/>
      <c r="JW45" s="70"/>
      <c r="JX45" s="70"/>
      <c r="JY45" s="70"/>
      <c r="JZ45" s="70"/>
      <c r="KA45" s="70"/>
      <c r="KB45" s="70"/>
      <c r="KC45" s="70"/>
      <c r="KD45" s="70"/>
      <c r="KE45" s="70"/>
      <c r="KF45" s="70"/>
      <c r="KG45" s="70"/>
      <c r="KH45" s="70"/>
      <c r="KI45" s="70"/>
      <c r="KJ45" s="70"/>
      <c r="KK45" s="70"/>
      <c r="KL45" s="70"/>
      <c r="KM45" s="70"/>
      <c r="KN45" s="70"/>
      <c r="KO45" s="70"/>
      <c r="KP45" s="70"/>
      <c r="KQ45" s="70"/>
      <c r="KR45" s="70"/>
      <c r="KS45" s="70"/>
      <c r="KT45" s="70"/>
      <c r="KU45" s="70"/>
      <c r="KV45" s="70"/>
      <c r="KW45" s="70"/>
      <c r="KX45" s="70"/>
      <c r="KY45" s="70"/>
      <c r="KZ45" s="70"/>
      <c r="LA45" s="70"/>
      <c r="LB45" s="70"/>
      <c r="LC45" s="70"/>
      <c r="LD45" s="70"/>
      <c r="LE45" s="70"/>
      <c r="LF45" s="70"/>
      <c r="LG45" s="70"/>
      <c r="LH45" s="70"/>
      <c r="LI45" s="70"/>
      <c r="LJ45" s="70"/>
      <c r="LK45" s="70"/>
      <c r="LL45" s="70"/>
      <c r="LM45" s="70"/>
      <c r="LN45" s="70"/>
      <c r="LO45" s="70"/>
      <c r="LP45" s="70"/>
      <c r="LQ45" s="70"/>
      <c r="LR45" s="70"/>
      <c r="LS45" s="70"/>
      <c r="LT45" s="70"/>
      <c r="LU45" s="70"/>
      <c r="LV45" s="70"/>
      <c r="LW45" s="70"/>
      <c r="LX45" s="70"/>
      <c r="LY45" s="70"/>
      <c r="LZ45" s="70"/>
      <c r="MA45" s="70"/>
      <c r="MB45" s="70"/>
      <c r="MC45" s="70"/>
      <c r="MD45" s="70"/>
      <c r="ME45" s="70"/>
      <c r="MF45" s="70"/>
      <c r="MG45" s="70"/>
      <c r="MH45" s="70"/>
      <c r="MI45" s="70"/>
      <c r="MJ45" s="70"/>
      <c r="MK45" s="70">
        <v>2000</v>
      </c>
      <c r="ML45" s="70">
        <f>7765.9+17000</f>
        <v>24765.9</v>
      </c>
      <c r="MM45" s="70"/>
      <c r="MN45" s="70"/>
      <c r="MO45" s="70"/>
      <c r="MP45" s="70"/>
      <c r="MQ45" s="70"/>
      <c r="MR45" s="70"/>
      <c r="MS45" s="70"/>
      <c r="MT45" s="70"/>
      <c r="MU45" s="70"/>
      <c r="MV45" s="70"/>
      <c r="MW45" s="70"/>
      <c r="MX45" s="14"/>
      <c r="MY45" s="14"/>
      <c r="MZ45" s="2"/>
      <c r="NA45" s="2"/>
    </row>
    <row r="46" spans="1:365" ht="14.25" x14ac:dyDescent="0.2">
      <c r="A46" s="55" t="s">
        <v>52</v>
      </c>
      <c r="B46" s="55"/>
      <c r="C46" s="56">
        <f t="shared" si="11"/>
        <v>727193.5</v>
      </c>
      <c r="D46" s="48"/>
      <c r="E46" s="48"/>
      <c r="F46" s="48">
        <v>18000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>
        <v>2000</v>
      </c>
      <c r="X46" s="48"/>
      <c r="Y46" s="48"/>
      <c r="Z46" s="48">
        <f>350</f>
        <v>350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>
        <f>190</f>
        <v>190</v>
      </c>
      <c r="AM46" s="48"/>
      <c r="AN46" s="48"/>
      <c r="AO46" s="48"/>
      <c r="AP46" s="48"/>
      <c r="AQ46" s="48"/>
      <c r="AR46" s="48">
        <v>150000</v>
      </c>
      <c r="AS46" s="48"/>
      <c r="AT46" s="48"/>
      <c r="AU46" s="48"/>
      <c r="AV46" s="48"/>
      <c r="AW46" s="48"/>
      <c r="AX46" s="48">
        <f>500</f>
        <v>500</v>
      </c>
      <c r="AY46" s="48">
        <v>20000</v>
      </c>
      <c r="AZ46" s="48"/>
      <c r="BA46" s="48"/>
      <c r="BB46" s="48">
        <f>1200</f>
        <v>1200</v>
      </c>
      <c r="BC46" s="48"/>
      <c r="BD46" s="48"/>
      <c r="BE46" s="48">
        <f>250</f>
        <v>250</v>
      </c>
      <c r="BF46" s="48">
        <f>500</f>
        <v>500</v>
      </c>
      <c r="BG46" s="48"/>
      <c r="BH46" s="48"/>
      <c r="BI46" s="48"/>
      <c r="BJ46" s="48">
        <v>2000</v>
      </c>
      <c r="BK46" s="48"/>
      <c r="BL46" s="48"/>
      <c r="BM46" s="48"/>
      <c r="BN46" s="48">
        <f>1300</f>
        <v>1300</v>
      </c>
      <c r="BO46" s="48"/>
      <c r="BP46" s="48"/>
      <c r="BQ46" s="48">
        <f>1000</f>
        <v>1000</v>
      </c>
      <c r="BR46" s="48"/>
      <c r="BS46" s="48"/>
      <c r="BT46" s="48">
        <f>1200</f>
        <v>1200</v>
      </c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>
        <v>5000</v>
      </c>
      <c r="CN46" s="48"/>
      <c r="CO46" s="48"/>
      <c r="CP46" s="48"/>
      <c r="CQ46" s="48"/>
      <c r="CR46" s="48"/>
      <c r="CS46" s="48">
        <f>500</f>
        <v>500</v>
      </c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>
        <v>2700</v>
      </c>
      <c r="DI46" s="48"/>
      <c r="DJ46" s="48"/>
      <c r="DK46" s="48">
        <f>1000</f>
        <v>1000</v>
      </c>
      <c r="DL46" s="48"/>
      <c r="DM46" s="48"/>
      <c r="DN46" s="48">
        <v>3719.7</v>
      </c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62">
        <f>25379</f>
        <v>25379</v>
      </c>
      <c r="EC46" s="48"/>
      <c r="ED46" s="48"/>
      <c r="EE46" s="48"/>
      <c r="EF46" s="48">
        <v>3800</v>
      </c>
      <c r="EG46" s="48"/>
      <c r="EH46" s="48"/>
      <c r="EI46" s="48"/>
      <c r="EJ46" s="48"/>
      <c r="EK46" s="48"/>
      <c r="EL46" s="48"/>
      <c r="EM46" s="48"/>
      <c r="EN46" s="48">
        <f>5700</f>
        <v>5700</v>
      </c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>
        <f>10000</f>
        <v>10000</v>
      </c>
      <c r="EZ46" s="48"/>
      <c r="FA46" s="48"/>
      <c r="FB46" s="48"/>
      <c r="FC46" s="48">
        <v>360</v>
      </c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79">
        <f>5300+16800+2000</f>
        <v>24100</v>
      </c>
      <c r="FS46" s="48"/>
      <c r="FT46" s="48">
        <f>2420+2000+3000+1500</f>
        <v>8920</v>
      </c>
      <c r="FU46" s="48"/>
      <c r="FV46" s="48"/>
      <c r="FW46" s="48"/>
      <c r="FX46" s="48"/>
      <c r="FY46" s="48">
        <f>1500</f>
        <v>1500</v>
      </c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>
        <v>500</v>
      </c>
      <c r="GR46" s="48"/>
      <c r="GS46" s="48"/>
      <c r="GT46" s="48"/>
      <c r="GU46" s="48"/>
      <c r="GV46" s="48"/>
      <c r="GW46" s="48"/>
      <c r="GX46" s="48">
        <f>2497</f>
        <v>2497</v>
      </c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>
        <f>2915</f>
        <v>2915</v>
      </c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>
        <f>3000+500</f>
        <v>3500</v>
      </c>
      <c r="IC46" s="48"/>
      <c r="ID46" s="48"/>
      <c r="IE46" s="48"/>
      <c r="IF46" s="48"/>
      <c r="IG46" s="48"/>
      <c r="IH46" s="48">
        <f>1250</f>
        <v>1250</v>
      </c>
      <c r="II46" s="48"/>
      <c r="IJ46" s="48"/>
      <c r="IK46" s="48">
        <f>300+1500+120</f>
        <v>1920</v>
      </c>
      <c r="IL46" s="48"/>
      <c r="IM46" s="48"/>
      <c r="IN46" s="48"/>
      <c r="IO46" s="48"/>
      <c r="IP46" s="48">
        <f>1000</f>
        <v>1000</v>
      </c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>
        <f>5250</f>
        <v>5250</v>
      </c>
      <c r="JK46" s="48"/>
      <c r="JL46" s="48"/>
      <c r="JM46" s="48"/>
      <c r="JN46" s="48">
        <f>3000</f>
        <v>3000</v>
      </c>
      <c r="JO46" s="48"/>
      <c r="JP46" s="48"/>
      <c r="JQ46" s="48"/>
      <c r="JR46" s="48"/>
      <c r="JS46" s="48"/>
      <c r="JT46" s="48">
        <v>1900</v>
      </c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>
        <v>26140</v>
      </c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>
        <f>250</f>
        <v>250</v>
      </c>
      <c r="LW46" s="48"/>
      <c r="LX46" s="48"/>
      <c r="LY46" s="48"/>
      <c r="LZ46" s="48"/>
      <c r="MA46" s="48"/>
      <c r="MB46" s="48"/>
      <c r="MC46" s="48"/>
      <c r="MD46" s="48">
        <v>3000</v>
      </c>
      <c r="ME46" s="48"/>
      <c r="MF46" s="48"/>
      <c r="MG46" s="48"/>
      <c r="MH46" s="48"/>
      <c r="MI46" s="48"/>
      <c r="MJ46" s="48"/>
      <c r="MK46" s="48"/>
      <c r="ML46" s="48">
        <f>15000+13000+20000+89500+1160+3060+2094.3+1849.1+6407.9+57618.5+5300+1500+1849.1+1400+3000+17000+89500+15000+12463.9+26200</f>
        <v>382902.80000000005</v>
      </c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14"/>
      <c r="MY46" s="14"/>
      <c r="MZ46" s="2"/>
      <c r="NA46" s="2"/>
    </row>
    <row r="47" spans="1:365" ht="14.25" customHeight="1" x14ac:dyDescent="0.2">
      <c r="A47" s="80" t="s">
        <v>53</v>
      </c>
      <c r="B47" s="80"/>
      <c r="C47" s="56">
        <f t="shared" si="1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14"/>
      <c r="MY47" s="14"/>
      <c r="MZ47" s="2"/>
      <c r="NA47" s="2"/>
    </row>
    <row r="48" spans="1:365" ht="30" customHeight="1" x14ac:dyDescent="0.2">
      <c r="A48" s="80" t="s">
        <v>54</v>
      </c>
      <c r="B48" s="80"/>
      <c r="C48" s="56">
        <f t="shared" si="11"/>
        <v>2372413.4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>
        <v>1000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>
        <f>2989</f>
        <v>2989</v>
      </c>
      <c r="EO48" s="70"/>
      <c r="EP48" s="70"/>
      <c r="EQ48" s="70"/>
      <c r="ER48" s="70"/>
      <c r="ES48" s="70"/>
      <c r="ET48" s="70"/>
      <c r="EU48" s="70"/>
      <c r="EV48" s="70"/>
      <c r="EW48" s="70">
        <v>1674.4</v>
      </c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>
        <v>6750</v>
      </c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  <c r="IW48" s="70"/>
      <c r="IX48" s="70"/>
      <c r="IY48" s="70"/>
      <c r="IZ48" s="70"/>
      <c r="JA48" s="70"/>
      <c r="JB48" s="70"/>
      <c r="JC48" s="70"/>
      <c r="JD48" s="70"/>
      <c r="JE48" s="70"/>
      <c r="JF48" s="70"/>
      <c r="JG48" s="70"/>
      <c r="JH48" s="70"/>
      <c r="JI48" s="70"/>
      <c r="JJ48" s="70"/>
      <c r="JK48" s="70"/>
      <c r="JL48" s="70"/>
      <c r="JM48" s="70"/>
      <c r="JN48" s="70"/>
      <c r="JO48" s="70"/>
      <c r="JP48" s="70"/>
      <c r="JQ48" s="70"/>
      <c r="JR48" s="70"/>
      <c r="JS48" s="70"/>
      <c r="JT48" s="70"/>
      <c r="JU48" s="70"/>
      <c r="JV48" s="70"/>
      <c r="JW48" s="70"/>
      <c r="JX48" s="70"/>
      <c r="JY48" s="70"/>
      <c r="JZ48" s="70"/>
      <c r="KA48" s="70"/>
      <c r="KB48" s="70"/>
      <c r="KC48" s="70"/>
      <c r="KD48" s="70"/>
      <c r="KE48" s="70"/>
      <c r="KF48" s="70"/>
      <c r="KG48" s="70"/>
      <c r="KH48" s="70"/>
      <c r="KI48" s="70"/>
      <c r="KJ48" s="70"/>
      <c r="KK48" s="70"/>
      <c r="KL48" s="70"/>
      <c r="KM48" s="70"/>
      <c r="KN48" s="70"/>
      <c r="KO48" s="70"/>
      <c r="KP48" s="70"/>
      <c r="KQ48" s="70"/>
      <c r="KR48" s="70"/>
      <c r="KS48" s="70"/>
      <c r="KT48" s="70"/>
      <c r="KU48" s="70"/>
      <c r="KV48" s="70"/>
      <c r="KW48" s="70"/>
      <c r="KX48" s="70"/>
      <c r="KY48" s="70"/>
      <c r="KZ48" s="70"/>
      <c r="LA48" s="70"/>
      <c r="LB48" s="70"/>
      <c r="LC48" s="70"/>
      <c r="LD48" s="70"/>
      <c r="LE48" s="70"/>
      <c r="LF48" s="70"/>
      <c r="LG48" s="70"/>
      <c r="LH48" s="70"/>
      <c r="LI48" s="70"/>
      <c r="LJ48" s="70"/>
      <c r="LK48" s="70"/>
      <c r="LL48" s="70"/>
      <c r="LM48" s="70"/>
      <c r="LN48" s="70"/>
      <c r="LO48" s="70"/>
      <c r="LP48" s="70"/>
      <c r="LQ48" s="70"/>
      <c r="LR48" s="70"/>
      <c r="LS48" s="70"/>
      <c r="LT48" s="70"/>
      <c r="LU48" s="70"/>
      <c r="LV48" s="70"/>
      <c r="LW48" s="70"/>
      <c r="LX48" s="70"/>
      <c r="LY48" s="70"/>
      <c r="LZ48" s="70"/>
      <c r="MA48" s="70"/>
      <c r="MB48" s="70"/>
      <c r="MC48" s="70"/>
      <c r="MD48" s="70"/>
      <c r="ME48" s="70"/>
      <c r="MF48" s="70"/>
      <c r="MG48" s="70"/>
      <c r="MH48" s="70"/>
      <c r="MI48" s="70"/>
      <c r="MJ48" s="70"/>
      <c r="MK48" s="70"/>
      <c r="ML48" s="70">
        <v>2360000</v>
      </c>
      <c r="MM48" s="70"/>
      <c r="MN48" s="70"/>
      <c r="MO48" s="70"/>
      <c r="MP48" s="70"/>
      <c r="MQ48" s="70"/>
      <c r="MR48" s="70"/>
      <c r="MS48" s="70"/>
      <c r="MT48" s="70"/>
      <c r="MU48" s="70"/>
      <c r="MV48" s="70"/>
      <c r="MW48" s="70"/>
      <c r="MX48" s="14"/>
      <c r="MY48" s="14"/>
      <c r="MZ48" s="2"/>
      <c r="NA48" s="2"/>
    </row>
    <row r="49" spans="1:365" ht="17.25" customHeight="1" x14ac:dyDescent="0.2">
      <c r="A49" s="81" t="s">
        <v>248</v>
      </c>
      <c r="B49" s="36" t="s">
        <v>37</v>
      </c>
      <c r="C49" s="82">
        <f>C50+C51</f>
        <v>7806162.2000000002</v>
      </c>
      <c r="D49" s="75">
        <f>D50+D51</f>
        <v>0</v>
      </c>
      <c r="E49" s="75">
        <f t="shared" ref="E49:BP49" si="42">E50+E51</f>
        <v>0</v>
      </c>
      <c r="F49" s="75">
        <f t="shared" si="42"/>
        <v>53000</v>
      </c>
      <c r="G49" s="75">
        <f t="shared" si="42"/>
        <v>857.9</v>
      </c>
      <c r="H49" s="75">
        <f t="shared" si="42"/>
        <v>0</v>
      </c>
      <c r="I49" s="75">
        <f t="shared" si="42"/>
        <v>0</v>
      </c>
      <c r="J49" s="75">
        <f t="shared" si="42"/>
        <v>6000</v>
      </c>
      <c r="K49" s="75">
        <f t="shared" si="42"/>
        <v>0</v>
      </c>
      <c r="L49" s="75">
        <f t="shared" si="42"/>
        <v>1600</v>
      </c>
      <c r="M49" s="75">
        <f t="shared" si="42"/>
        <v>0</v>
      </c>
      <c r="N49" s="75">
        <f t="shared" si="42"/>
        <v>0</v>
      </c>
      <c r="O49" s="75">
        <f t="shared" si="42"/>
        <v>0</v>
      </c>
      <c r="P49" s="75">
        <f t="shared" si="42"/>
        <v>0</v>
      </c>
      <c r="Q49" s="75">
        <f t="shared" si="42"/>
        <v>0</v>
      </c>
      <c r="R49" s="75">
        <f t="shared" si="42"/>
        <v>0</v>
      </c>
      <c r="S49" s="75">
        <f t="shared" si="42"/>
        <v>0</v>
      </c>
      <c r="T49" s="75">
        <f t="shared" si="42"/>
        <v>0</v>
      </c>
      <c r="U49" s="75">
        <f t="shared" si="42"/>
        <v>1280</v>
      </c>
      <c r="V49" s="75">
        <f t="shared" si="42"/>
        <v>1000</v>
      </c>
      <c r="W49" s="75">
        <f t="shared" si="42"/>
        <v>4000</v>
      </c>
      <c r="X49" s="75">
        <f t="shared" si="42"/>
        <v>0</v>
      </c>
      <c r="Y49" s="75">
        <f t="shared" si="42"/>
        <v>0</v>
      </c>
      <c r="Z49" s="75">
        <f t="shared" si="42"/>
        <v>2950</v>
      </c>
      <c r="AA49" s="75">
        <f t="shared" si="42"/>
        <v>11304</v>
      </c>
      <c r="AB49" s="75">
        <f t="shared" si="42"/>
        <v>16400</v>
      </c>
      <c r="AC49" s="75">
        <f t="shared" si="42"/>
        <v>0</v>
      </c>
      <c r="AD49" s="75">
        <f t="shared" si="42"/>
        <v>0</v>
      </c>
      <c r="AE49" s="75">
        <f t="shared" si="42"/>
        <v>19235</v>
      </c>
      <c r="AF49" s="75">
        <f t="shared" si="42"/>
        <v>0</v>
      </c>
      <c r="AG49" s="75">
        <f t="shared" si="42"/>
        <v>153500</v>
      </c>
      <c r="AH49" s="75">
        <f t="shared" si="42"/>
        <v>4100</v>
      </c>
      <c r="AI49" s="75">
        <f t="shared" si="42"/>
        <v>0</v>
      </c>
      <c r="AJ49" s="75">
        <f t="shared" si="42"/>
        <v>0</v>
      </c>
      <c r="AK49" s="75">
        <f t="shared" si="42"/>
        <v>0</v>
      </c>
      <c r="AL49" s="75">
        <f t="shared" si="42"/>
        <v>0</v>
      </c>
      <c r="AM49" s="75">
        <f t="shared" si="42"/>
        <v>0</v>
      </c>
      <c r="AN49" s="75">
        <f t="shared" si="42"/>
        <v>0</v>
      </c>
      <c r="AO49" s="75">
        <f t="shared" si="42"/>
        <v>0</v>
      </c>
      <c r="AP49" s="75">
        <f t="shared" si="42"/>
        <v>1000</v>
      </c>
      <c r="AQ49" s="75">
        <f t="shared" si="42"/>
        <v>0</v>
      </c>
      <c r="AR49" s="75">
        <f t="shared" si="42"/>
        <v>61074</v>
      </c>
      <c r="AS49" s="75">
        <f t="shared" si="42"/>
        <v>107558</v>
      </c>
      <c r="AT49" s="75">
        <f t="shared" si="42"/>
        <v>1400</v>
      </c>
      <c r="AU49" s="75">
        <f t="shared" si="42"/>
        <v>0</v>
      </c>
      <c r="AV49" s="75">
        <f t="shared" si="42"/>
        <v>0</v>
      </c>
      <c r="AW49" s="75">
        <f t="shared" si="42"/>
        <v>62980</v>
      </c>
      <c r="AX49" s="75">
        <f t="shared" si="42"/>
        <v>2698500</v>
      </c>
      <c r="AY49" s="75">
        <f t="shared" si="42"/>
        <v>3000</v>
      </c>
      <c r="AZ49" s="75">
        <f t="shared" si="42"/>
        <v>0</v>
      </c>
      <c r="BA49" s="75">
        <f t="shared" si="42"/>
        <v>0</v>
      </c>
      <c r="BB49" s="75">
        <f t="shared" si="42"/>
        <v>4800</v>
      </c>
      <c r="BC49" s="75">
        <f t="shared" si="42"/>
        <v>6847</v>
      </c>
      <c r="BD49" s="75">
        <f t="shared" si="42"/>
        <v>0</v>
      </c>
      <c r="BE49" s="75">
        <f t="shared" si="42"/>
        <v>0</v>
      </c>
      <c r="BF49" s="75">
        <f t="shared" si="42"/>
        <v>0</v>
      </c>
      <c r="BG49" s="75">
        <f t="shared" si="42"/>
        <v>19500</v>
      </c>
      <c r="BH49" s="75">
        <f t="shared" si="42"/>
        <v>0</v>
      </c>
      <c r="BI49" s="75">
        <f t="shared" si="42"/>
        <v>0</v>
      </c>
      <c r="BJ49" s="75" t="s">
        <v>470</v>
      </c>
      <c r="BK49" s="75">
        <f t="shared" si="42"/>
        <v>0</v>
      </c>
      <c r="BL49" s="75">
        <f t="shared" si="42"/>
        <v>30000</v>
      </c>
      <c r="BM49" s="75">
        <f t="shared" si="42"/>
        <v>1150</v>
      </c>
      <c r="BN49" s="75">
        <f t="shared" si="42"/>
        <v>0</v>
      </c>
      <c r="BO49" s="75">
        <f t="shared" si="42"/>
        <v>0</v>
      </c>
      <c r="BP49" s="75">
        <f t="shared" si="42"/>
        <v>0</v>
      </c>
      <c r="BQ49" s="75">
        <f t="shared" ref="BQ49:EB49" si="43">BQ50+BQ51</f>
        <v>0</v>
      </c>
      <c r="BR49" s="75">
        <f t="shared" si="43"/>
        <v>4500</v>
      </c>
      <c r="BS49" s="75">
        <f t="shared" si="43"/>
        <v>200</v>
      </c>
      <c r="BT49" s="75">
        <f t="shared" si="43"/>
        <v>0</v>
      </c>
      <c r="BU49" s="75">
        <f t="shared" si="43"/>
        <v>0</v>
      </c>
      <c r="BV49" s="75">
        <f t="shared" si="43"/>
        <v>0</v>
      </c>
      <c r="BW49" s="75">
        <f t="shared" si="43"/>
        <v>0</v>
      </c>
      <c r="BX49" s="75">
        <f t="shared" si="43"/>
        <v>0</v>
      </c>
      <c r="BY49" s="75">
        <f t="shared" si="43"/>
        <v>0</v>
      </c>
      <c r="BZ49" s="75">
        <f t="shared" si="43"/>
        <v>0</v>
      </c>
      <c r="CA49" s="75">
        <f t="shared" si="43"/>
        <v>0</v>
      </c>
      <c r="CB49" s="75">
        <f t="shared" si="43"/>
        <v>0</v>
      </c>
      <c r="CC49" s="75">
        <f t="shared" si="43"/>
        <v>2870</v>
      </c>
      <c r="CD49" s="75">
        <f t="shared" si="43"/>
        <v>0</v>
      </c>
      <c r="CE49" s="75">
        <f t="shared" si="43"/>
        <v>100</v>
      </c>
      <c r="CF49" s="75">
        <f t="shared" si="43"/>
        <v>3250</v>
      </c>
      <c r="CG49" s="75">
        <f t="shared" si="43"/>
        <v>0</v>
      </c>
      <c r="CH49" s="75">
        <f t="shared" si="43"/>
        <v>62000</v>
      </c>
      <c r="CI49" s="75">
        <f t="shared" si="43"/>
        <v>0</v>
      </c>
      <c r="CJ49" s="75">
        <f t="shared" si="43"/>
        <v>144403</v>
      </c>
      <c r="CK49" s="75">
        <f t="shared" si="43"/>
        <v>0</v>
      </c>
      <c r="CL49" s="75">
        <f t="shared" si="43"/>
        <v>0</v>
      </c>
      <c r="CM49" s="75">
        <f t="shared" si="43"/>
        <v>0</v>
      </c>
      <c r="CN49" s="75">
        <f t="shared" si="43"/>
        <v>0</v>
      </c>
      <c r="CO49" s="75">
        <f t="shared" si="43"/>
        <v>0</v>
      </c>
      <c r="CP49" s="75">
        <f t="shared" si="43"/>
        <v>576677</v>
      </c>
      <c r="CQ49" s="75">
        <f t="shared" si="43"/>
        <v>0</v>
      </c>
      <c r="CR49" s="75">
        <f t="shared" si="43"/>
        <v>0</v>
      </c>
      <c r="CS49" s="75">
        <f t="shared" si="43"/>
        <v>0</v>
      </c>
      <c r="CT49" s="75">
        <f t="shared" si="43"/>
        <v>0</v>
      </c>
      <c r="CU49" s="75">
        <f t="shared" si="43"/>
        <v>0</v>
      </c>
      <c r="CV49" s="75">
        <f t="shared" si="43"/>
        <v>0</v>
      </c>
      <c r="CW49" s="75">
        <f t="shared" si="43"/>
        <v>0</v>
      </c>
      <c r="CX49" s="75">
        <f t="shared" si="43"/>
        <v>0</v>
      </c>
      <c r="CY49" s="75">
        <f t="shared" si="43"/>
        <v>2283000</v>
      </c>
      <c r="CZ49" s="75">
        <f t="shared" si="43"/>
        <v>0</v>
      </c>
      <c r="DA49" s="75">
        <f t="shared" si="43"/>
        <v>0</v>
      </c>
      <c r="DB49" s="75">
        <f t="shared" si="43"/>
        <v>0</v>
      </c>
      <c r="DC49" s="75">
        <f t="shared" si="43"/>
        <v>0</v>
      </c>
      <c r="DD49" s="75">
        <f t="shared" si="43"/>
        <v>0</v>
      </c>
      <c r="DE49" s="75">
        <f t="shared" si="43"/>
        <v>0</v>
      </c>
      <c r="DF49" s="75">
        <f t="shared" si="43"/>
        <v>0</v>
      </c>
      <c r="DG49" s="75">
        <f t="shared" si="43"/>
        <v>0</v>
      </c>
      <c r="DH49" s="75">
        <f t="shared" si="43"/>
        <v>4600</v>
      </c>
      <c r="DI49" s="75">
        <f t="shared" si="43"/>
        <v>1171</v>
      </c>
      <c r="DJ49" s="75">
        <f t="shared" si="43"/>
        <v>0</v>
      </c>
      <c r="DK49" s="75">
        <f t="shared" si="43"/>
        <v>4600</v>
      </c>
      <c r="DL49" s="75">
        <f t="shared" si="43"/>
        <v>0</v>
      </c>
      <c r="DM49" s="75">
        <f t="shared" si="43"/>
        <v>3000</v>
      </c>
      <c r="DN49" s="75">
        <f t="shared" si="43"/>
        <v>0</v>
      </c>
      <c r="DO49" s="75">
        <f t="shared" si="43"/>
        <v>950</v>
      </c>
      <c r="DP49" s="75">
        <f t="shared" si="43"/>
        <v>0</v>
      </c>
      <c r="DQ49" s="75">
        <f t="shared" si="43"/>
        <v>2950</v>
      </c>
      <c r="DR49" s="75">
        <f t="shared" si="43"/>
        <v>2000</v>
      </c>
      <c r="DS49" s="75">
        <f t="shared" si="43"/>
        <v>832</v>
      </c>
      <c r="DT49" s="75">
        <f t="shared" si="43"/>
        <v>28825</v>
      </c>
      <c r="DU49" s="75">
        <f t="shared" si="43"/>
        <v>0</v>
      </c>
      <c r="DV49" s="75">
        <f t="shared" si="43"/>
        <v>0</v>
      </c>
      <c r="DW49" s="75">
        <f t="shared" si="43"/>
        <v>0</v>
      </c>
      <c r="DX49" s="75">
        <f t="shared" si="43"/>
        <v>2942.5</v>
      </c>
      <c r="DY49" s="75">
        <f t="shared" si="43"/>
        <v>0</v>
      </c>
      <c r="DZ49" s="75">
        <f t="shared" si="43"/>
        <v>0</v>
      </c>
      <c r="EA49" s="75">
        <f t="shared" si="43"/>
        <v>4200</v>
      </c>
      <c r="EB49" s="75">
        <f t="shared" si="43"/>
        <v>12000</v>
      </c>
      <c r="EC49" s="75">
        <f t="shared" ref="EC49:GD49" si="44">EC50+EC51</f>
        <v>0</v>
      </c>
      <c r="ED49" s="75">
        <f t="shared" si="44"/>
        <v>0</v>
      </c>
      <c r="EE49" s="75">
        <f t="shared" si="44"/>
        <v>0</v>
      </c>
      <c r="EF49" s="75">
        <f t="shared" si="44"/>
        <v>0</v>
      </c>
      <c r="EG49" s="75">
        <f t="shared" si="44"/>
        <v>0</v>
      </c>
      <c r="EH49" s="75">
        <f t="shared" si="44"/>
        <v>0</v>
      </c>
      <c r="EI49" s="75">
        <f t="shared" si="44"/>
        <v>12900</v>
      </c>
      <c r="EJ49" s="75">
        <f t="shared" si="44"/>
        <v>0</v>
      </c>
      <c r="EK49" s="75">
        <f t="shared" si="44"/>
        <v>0</v>
      </c>
      <c r="EL49" s="75">
        <f t="shared" si="44"/>
        <v>7760</v>
      </c>
      <c r="EM49" s="75">
        <f t="shared" si="44"/>
        <v>0</v>
      </c>
      <c r="EN49" s="75">
        <f t="shared" si="44"/>
        <v>67481</v>
      </c>
      <c r="EO49" s="75">
        <f t="shared" si="44"/>
        <v>1920</v>
      </c>
      <c r="EP49" s="75">
        <f t="shared" si="44"/>
        <v>1236</v>
      </c>
      <c r="EQ49" s="75">
        <f t="shared" si="44"/>
        <v>3543</v>
      </c>
      <c r="ER49" s="75">
        <f t="shared" si="44"/>
        <v>0</v>
      </c>
      <c r="ES49" s="75">
        <f t="shared" si="44"/>
        <v>750</v>
      </c>
      <c r="ET49" s="75">
        <f t="shared" si="44"/>
        <v>0</v>
      </c>
      <c r="EU49" s="75">
        <f t="shared" si="44"/>
        <v>0</v>
      </c>
      <c r="EV49" s="75">
        <f t="shared" si="44"/>
        <v>1000</v>
      </c>
      <c r="EW49" s="75">
        <f t="shared" si="44"/>
        <v>1400</v>
      </c>
      <c r="EX49" s="75">
        <f t="shared" si="44"/>
        <v>0</v>
      </c>
      <c r="EY49" s="75">
        <f t="shared" si="44"/>
        <v>19100</v>
      </c>
      <c r="EZ49" s="75">
        <f t="shared" si="44"/>
        <v>0</v>
      </c>
      <c r="FA49" s="75">
        <f t="shared" si="44"/>
        <v>2000</v>
      </c>
      <c r="FB49" s="75">
        <f t="shared" si="44"/>
        <v>20000</v>
      </c>
      <c r="FC49" s="75">
        <f t="shared" si="44"/>
        <v>10324</v>
      </c>
      <c r="FD49" s="75">
        <f t="shared" si="44"/>
        <v>0</v>
      </c>
      <c r="FE49" s="75">
        <f t="shared" si="44"/>
        <v>0</v>
      </c>
      <c r="FF49" s="75">
        <f t="shared" si="44"/>
        <v>585</v>
      </c>
      <c r="FG49" s="75">
        <f t="shared" si="44"/>
        <v>0</v>
      </c>
      <c r="FH49" s="75">
        <f t="shared" si="44"/>
        <v>0</v>
      </c>
      <c r="FI49" s="75">
        <f t="shared" si="44"/>
        <v>3020</v>
      </c>
      <c r="FJ49" s="75">
        <f t="shared" si="44"/>
        <v>0</v>
      </c>
      <c r="FK49" s="75">
        <f t="shared" si="44"/>
        <v>0</v>
      </c>
      <c r="FL49" s="75">
        <f t="shared" si="44"/>
        <v>0</v>
      </c>
      <c r="FM49" s="75">
        <f t="shared" si="44"/>
        <v>4269</v>
      </c>
      <c r="FN49" s="75">
        <f t="shared" si="44"/>
        <v>0</v>
      </c>
      <c r="FO49" s="75">
        <f t="shared" si="44"/>
        <v>0</v>
      </c>
      <c r="FP49" s="75">
        <f t="shared" si="44"/>
        <v>0</v>
      </c>
      <c r="FQ49" s="75">
        <f t="shared" si="44"/>
        <v>116510</v>
      </c>
      <c r="FR49" s="75">
        <f t="shared" si="44"/>
        <v>27158</v>
      </c>
      <c r="FS49" s="75">
        <f t="shared" si="44"/>
        <v>12306</v>
      </c>
      <c r="FT49" s="75">
        <f t="shared" si="44"/>
        <v>0</v>
      </c>
      <c r="FU49" s="75">
        <f t="shared" si="44"/>
        <v>0</v>
      </c>
      <c r="FV49" s="75">
        <f t="shared" si="44"/>
        <v>7564.45</v>
      </c>
      <c r="FW49" s="75">
        <f t="shared" si="44"/>
        <v>0</v>
      </c>
      <c r="FX49" s="75">
        <f t="shared" si="44"/>
        <v>0</v>
      </c>
      <c r="FY49" s="75">
        <f t="shared" si="44"/>
        <v>2500</v>
      </c>
      <c r="FZ49" s="75">
        <f t="shared" si="44"/>
        <v>0</v>
      </c>
      <c r="GA49" s="75">
        <f t="shared" si="44"/>
        <v>0</v>
      </c>
      <c r="GB49" s="75">
        <f t="shared" si="44"/>
        <v>0</v>
      </c>
      <c r="GC49" s="75">
        <f t="shared" si="44"/>
        <v>0</v>
      </c>
      <c r="GD49" s="75">
        <f t="shared" si="44"/>
        <v>98437</v>
      </c>
      <c r="GE49" s="75">
        <f>GE50+GE51</f>
        <v>0</v>
      </c>
      <c r="GF49" s="75">
        <f>GF50+GF51</f>
        <v>0</v>
      </c>
      <c r="GG49" s="75">
        <f>GG50+GG51</f>
        <v>0</v>
      </c>
      <c r="GH49" s="75">
        <f t="shared" ref="GH49:IS49" si="45">GH50+GH51</f>
        <v>3000</v>
      </c>
      <c r="GI49" s="75">
        <f t="shared" si="45"/>
        <v>0</v>
      </c>
      <c r="GJ49" s="75">
        <f t="shared" si="45"/>
        <v>0</v>
      </c>
      <c r="GK49" s="75">
        <f t="shared" si="45"/>
        <v>250</v>
      </c>
      <c r="GL49" s="75">
        <f t="shared" si="45"/>
        <v>0</v>
      </c>
      <c r="GM49" s="75">
        <f t="shared" si="45"/>
        <v>0</v>
      </c>
      <c r="GN49" s="75">
        <f t="shared" si="45"/>
        <v>0</v>
      </c>
      <c r="GO49" s="75">
        <f t="shared" si="45"/>
        <v>0</v>
      </c>
      <c r="GP49" s="75">
        <f t="shared" si="45"/>
        <v>0</v>
      </c>
      <c r="GQ49" s="75">
        <f t="shared" si="45"/>
        <v>0</v>
      </c>
      <c r="GR49" s="75">
        <f t="shared" si="45"/>
        <v>0</v>
      </c>
      <c r="GS49" s="75">
        <f t="shared" si="45"/>
        <v>0</v>
      </c>
      <c r="GT49" s="75">
        <f t="shared" si="45"/>
        <v>0</v>
      </c>
      <c r="GU49" s="75">
        <f t="shared" si="45"/>
        <v>0</v>
      </c>
      <c r="GV49" s="75">
        <f t="shared" si="45"/>
        <v>575</v>
      </c>
      <c r="GW49" s="75">
        <f t="shared" si="45"/>
        <v>0</v>
      </c>
      <c r="GX49" s="75">
        <f t="shared" si="45"/>
        <v>0</v>
      </c>
      <c r="GY49" s="75">
        <f t="shared" si="45"/>
        <v>0</v>
      </c>
      <c r="GZ49" s="75">
        <f t="shared" si="45"/>
        <v>0</v>
      </c>
      <c r="HA49" s="75">
        <f t="shared" si="45"/>
        <v>0</v>
      </c>
      <c r="HB49" s="75">
        <f t="shared" si="45"/>
        <v>0</v>
      </c>
      <c r="HC49" s="75">
        <f t="shared" si="45"/>
        <v>0</v>
      </c>
      <c r="HD49" s="75">
        <f t="shared" si="45"/>
        <v>0</v>
      </c>
      <c r="HE49" s="75">
        <f t="shared" si="45"/>
        <v>0</v>
      </c>
      <c r="HF49" s="75">
        <f t="shared" si="45"/>
        <v>0</v>
      </c>
      <c r="HG49" s="75">
        <f t="shared" si="45"/>
        <v>0</v>
      </c>
      <c r="HH49" s="75">
        <f t="shared" si="45"/>
        <v>0</v>
      </c>
      <c r="HI49" s="75">
        <f t="shared" si="45"/>
        <v>0</v>
      </c>
      <c r="HJ49" s="75">
        <f t="shared" si="45"/>
        <v>0</v>
      </c>
      <c r="HK49" s="75">
        <f t="shared" si="45"/>
        <v>0</v>
      </c>
      <c r="HL49" s="75">
        <f t="shared" si="45"/>
        <v>0</v>
      </c>
      <c r="HM49" s="75">
        <f t="shared" si="45"/>
        <v>3250</v>
      </c>
      <c r="HN49" s="75">
        <f t="shared" si="45"/>
        <v>700</v>
      </c>
      <c r="HO49" s="75">
        <f t="shared" si="45"/>
        <v>0</v>
      </c>
      <c r="HP49" s="75">
        <f t="shared" si="45"/>
        <v>0</v>
      </c>
      <c r="HQ49" s="75">
        <f t="shared" si="45"/>
        <v>0</v>
      </c>
      <c r="HR49" s="75">
        <f t="shared" si="45"/>
        <v>73596</v>
      </c>
      <c r="HS49" s="75">
        <f t="shared" si="45"/>
        <v>0</v>
      </c>
      <c r="HT49" s="75">
        <f t="shared" si="45"/>
        <v>0</v>
      </c>
      <c r="HU49" s="75">
        <f t="shared" si="45"/>
        <v>0</v>
      </c>
      <c r="HV49" s="75">
        <f t="shared" si="45"/>
        <v>0</v>
      </c>
      <c r="HW49" s="75">
        <f t="shared" si="45"/>
        <v>0</v>
      </c>
      <c r="HX49" s="75">
        <f t="shared" si="45"/>
        <v>0</v>
      </c>
      <c r="HY49" s="75">
        <f t="shared" si="45"/>
        <v>0</v>
      </c>
      <c r="HZ49" s="75">
        <f t="shared" si="45"/>
        <v>0</v>
      </c>
      <c r="IA49" s="75">
        <f t="shared" si="45"/>
        <v>4250</v>
      </c>
      <c r="IB49" s="75">
        <f t="shared" si="45"/>
        <v>240162</v>
      </c>
      <c r="IC49" s="75">
        <f t="shared" si="45"/>
        <v>0</v>
      </c>
      <c r="ID49" s="75">
        <f t="shared" si="45"/>
        <v>0</v>
      </c>
      <c r="IE49" s="75">
        <f t="shared" si="45"/>
        <v>0</v>
      </c>
      <c r="IF49" s="75">
        <f t="shared" si="45"/>
        <v>0</v>
      </c>
      <c r="IG49" s="75">
        <f t="shared" si="45"/>
        <v>0</v>
      </c>
      <c r="IH49" s="75">
        <f t="shared" si="45"/>
        <v>0</v>
      </c>
      <c r="II49" s="75">
        <f t="shared" si="45"/>
        <v>0</v>
      </c>
      <c r="IJ49" s="75">
        <f t="shared" si="45"/>
        <v>0</v>
      </c>
      <c r="IK49" s="75">
        <f t="shared" si="45"/>
        <v>600</v>
      </c>
      <c r="IL49" s="75">
        <f t="shared" si="45"/>
        <v>0</v>
      </c>
      <c r="IM49" s="75">
        <f t="shared" si="45"/>
        <v>0</v>
      </c>
      <c r="IN49" s="75">
        <f t="shared" si="45"/>
        <v>0</v>
      </c>
      <c r="IO49" s="75">
        <f t="shared" si="45"/>
        <v>0</v>
      </c>
      <c r="IP49" s="75">
        <f t="shared" si="45"/>
        <v>33530.199999999997</v>
      </c>
      <c r="IQ49" s="75">
        <f t="shared" si="45"/>
        <v>0</v>
      </c>
      <c r="IR49" s="75">
        <f t="shared" si="45"/>
        <v>0</v>
      </c>
      <c r="IS49" s="75">
        <f t="shared" si="45"/>
        <v>0</v>
      </c>
      <c r="IT49" s="75">
        <f t="shared" ref="IT49:LE49" si="46">IT50+IT51</f>
        <v>0</v>
      </c>
      <c r="IU49" s="75">
        <f t="shared" si="46"/>
        <v>0</v>
      </c>
      <c r="IV49" s="75">
        <f t="shared" si="46"/>
        <v>0</v>
      </c>
      <c r="IW49" s="75">
        <f t="shared" si="46"/>
        <v>0</v>
      </c>
      <c r="IX49" s="75">
        <f t="shared" si="46"/>
        <v>0</v>
      </c>
      <c r="IY49" s="75">
        <f t="shared" si="46"/>
        <v>0</v>
      </c>
      <c r="IZ49" s="75">
        <f t="shared" si="46"/>
        <v>4034.15</v>
      </c>
      <c r="JA49" s="75">
        <f t="shared" si="46"/>
        <v>0</v>
      </c>
      <c r="JB49" s="75">
        <f t="shared" si="46"/>
        <v>0</v>
      </c>
      <c r="JC49" s="75">
        <f t="shared" si="46"/>
        <v>0</v>
      </c>
      <c r="JD49" s="75">
        <f t="shared" si="46"/>
        <v>0</v>
      </c>
      <c r="JE49" s="75">
        <f t="shared" si="46"/>
        <v>0</v>
      </c>
      <c r="JF49" s="75">
        <f t="shared" si="46"/>
        <v>0</v>
      </c>
      <c r="JG49" s="75">
        <f t="shared" si="46"/>
        <v>200</v>
      </c>
      <c r="JH49" s="75">
        <f t="shared" si="46"/>
        <v>0</v>
      </c>
      <c r="JI49" s="75">
        <f t="shared" si="46"/>
        <v>0</v>
      </c>
      <c r="JJ49" s="75">
        <f t="shared" si="46"/>
        <v>0</v>
      </c>
      <c r="JK49" s="75">
        <f t="shared" si="46"/>
        <v>1000</v>
      </c>
      <c r="JL49" s="75">
        <f t="shared" si="46"/>
        <v>3320</v>
      </c>
      <c r="JM49" s="75">
        <f t="shared" si="46"/>
        <v>0</v>
      </c>
      <c r="JN49" s="75">
        <f t="shared" si="46"/>
        <v>0</v>
      </c>
      <c r="JO49" s="75">
        <f t="shared" si="46"/>
        <v>0</v>
      </c>
      <c r="JP49" s="75">
        <f t="shared" si="46"/>
        <v>0</v>
      </c>
      <c r="JQ49" s="75">
        <f t="shared" si="46"/>
        <v>0</v>
      </c>
      <c r="JR49" s="75">
        <f t="shared" si="46"/>
        <v>0</v>
      </c>
      <c r="JS49" s="75">
        <f t="shared" si="46"/>
        <v>1000</v>
      </c>
      <c r="JT49" s="75">
        <f t="shared" si="46"/>
        <v>0</v>
      </c>
      <c r="JU49" s="75">
        <f t="shared" si="46"/>
        <v>0</v>
      </c>
      <c r="JV49" s="75">
        <f t="shared" si="46"/>
        <v>0</v>
      </c>
      <c r="JW49" s="75">
        <f t="shared" si="46"/>
        <v>18000</v>
      </c>
      <c r="JX49" s="75">
        <f t="shared" si="46"/>
        <v>0</v>
      </c>
      <c r="JY49" s="75">
        <f t="shared" si="46"/>
        <v>0</v>
      </c>
      <c r="JZ49" s="75">
        <f t="shared" si="46"/>
        <v>0</v>
      </c>
      <c r="KA49" s="75">
        <f t="shared" si="46"/>
        <v>0</v>
      </c>
      <c r="KB49" s="75">
        <f t="shared" si="46"/>
        <v>0</v>
      </c>
      <c r="KC49" s="75">
        <f t="shared" si="46"/>
        <v>0</v>
      </c>
      <c r="KD49" s="75">
        <f t="shared" si="46"/>
        <v>0</v>
      </c>
      <c r="KE49" s="75">
        <f t="shared" si="46"/>
        <v>0</v>
      </c>
      <c r="KF49" s="75">
        <f t="shared" si="46"/>
        <v>0</v>
      </c>
      <c r="KG49" s="75">
        <f t="shared" si="46"/>
        <v>4100</v>
      </c>
      <c r="KH49" s="75">
        <f t="shared" si="46"/>
        <v>0</v>
      </c>
      <c r="KI49" s="75">
        <f t="shared" si="46"/>
        <v>5000</v>
      </c>
      <c r="KJ49" s="75">
        <f t="shared" si="46"/>
        <v>0</v>
      </c>
      <c r="KK49" s="75">
        <f t="shared" si="46"/>
        <v>0</v>
      </c>
      <c r="KL49" s="75">
        <f t="shared" si="46"/>
        <v>0</v>
      </c>
      <c r="KM49" s="75">
        <f t="shared" si="46"/>
        <v>0</v>
      </c>
      <c r="KN49" s="75">
        <f t="shared" si="46"/>
        <v>0</v>
      </c>
      <c r="KO49" s="75">
        <f t="shared" si="46"/>
        <v>0</v>
      </c>
      <c r="KP49" s="75">
        <f t="shared" si="46"/>
        <v>0</v>
      </c>
      <c r="KQ49" s="75">
        <f t="shared" si="46"/>
        <v>0</v>
      </c>
      <c r="KR49" s="75">
        <f t="shared" si="46"/>
        <v>0</v>
      </c>
      <c r="KS49" s="75">
        <f t="shared" si="46"/>
        <v>0</v>
      </c>
      <c r="KT49" s="75">
        <f t="shared" si="46"/>
        <v>0</v>
      </c>
      <c r="KU49" s="75">
        <f t="shared" si="46"/>
        <v>0</v>
      </c>
      <c r="KV49" s="75">
        <f t="shared" si="46"/>
        <v>0</v>
      </c>
      <c r="KW49" s="75">
        <f t="shared" si="46"/>
        <v>0</v>
      </c>
      <c r="KX49" s="75">
        <f t="shared" si="46"/>
        <v>0</v>
      </c>
      <c r="KY49" s="75">
        <f t="shared" si="46"/>
        <v>0</v>
      </c>
      <c r="KZ49" s="75">
        <f t="shared" si="46"/>
        <v>0</v>
      </c>
      <c r="LA49" s="75">
        <f t="shared" si="46"/>
        <v>0</v>
      </c>
      <c r="LB49" s="75">
        <f t="shared" si="46"/>
        <v>0</v>
      </c>
      <c r="LC49" s="75">
        <f t="shared" si="46"/>
        <v>1100</v>
      </c>
      <c r="LD49" s="75">
        <f t="shared" si="46"/>
        <v>0</v>
      </c>
      <c r="LE49" s="75">
        <f t="shared" si="46"/>
        <v>0</v>
      </c>
      <c r="LF49" s="75">
        <f t="shared" ref="LF49:MW49" si="47">LF50+LF51</f>
        <v>15000</v>
      </c>
      <c r="LG49" s="75">
        <f t="shared" si="47"/>
        <v>0</v>
      </c>
      <c r="LH49" s="75">
        <f t="shared" si="47"/>
        <v>0</v>
      </c>
      <c r="LI49" s="75">
        <f t="shared" si="47"/>
        <v>0</v>
      </c>
      <c r="LJ49" s="75">
        <f t="shared" si="47"/>
        <v>0</v>
      </c>
      <c r="LK49" s="75">
        <f t="shared" si="47"/>
        <v>0</v>
      </c>
      <c r="LL49" s="75">
        <f t="shared" si="47"/>
        <v>0</v>
      </c>
      <c r="LM49" s="75">
        <f t="shared" si="47"/>
        <v>0</v>
      </c>
      <c r="LN49" s="75">
        <f t="shared" si="47"/>
        <v>0</v>
      </c>
      <c r="LO49" s="75">
        <f t="shared" si="47"/>
        <v>0</v>
      </c>
      <c r="LP49" s="75">
        <f t="shared" si="47"/>
        <v>0</v>
      </c>
      <c r="LQ49" s="75">
        <f t="shared" si="47"/>
        <v>0</v>
      </c>
      <c r="LR49" s="75">
        <f t="shared" si="47"/>
        <v>0</v>
      </c>
      <c r="LS49" s="75">
        <f t="shared" si="47"/>
        <v>0</v>
      </c>
      <c r="LT49" s="75">
        <f t="shared" si="47"/>
        <v>0</v>
      </c>
      <c r="LU49" s="75">
        <f t="shared" si="47"/>
        <v>0</v>
      </c>
      <c r="LV49" s="75">
        <f t="shared" si="47"/>
        <v>0</v>
      </c>
      <c r="LW49" s="75">
        <f t="shared" si="47"/>
        <v>0</v>
      </c>
      <c r="LX49" s="75">
        <f t="shared" si="47"/>
        <v>0</v>
      </c>
      <c r="LY49" s="75">
        <f t="shared" si="47"/>
        <v>0</v>
      </c>
      <c r="LZ49" s="75">
        <f t="shared" si="47"/>
        <v>0</v>
      </c>
      <c r="MA49" s="75">
        <f t="shared" si="47"/>
        <v>0</v>
      </c>
      <c r="MB49" s="75">
        <f t="shared" si="47"/>
        <v>0</v>
      </c>
      <c r="MC49" s="75">
        <f t="shared" si="47"/>
        <v>0</v>
      </c>
      <c r="MD49" s="75">
        <f t="shared" si="47"/>
        <v>0</v>
      </c>
      <c r="ME49" s="75">
        <f t="shared" si="47"/>
        <v>0</v>
      </c>
      <c r="MF49" s="75">
        <f t="shared" si="47"/>
        <v>0</v>
      </c>
      <c r="MG49" s="75">
        <f t="shared" si="47"/>
        <v>0</v>
      </c>
      <c r="MH49" s="75">
        <f t="shared" si="47"/>
        <v>0</v>
      </c>
      <c r="MI49" s="75">
        <f t="shared" si="47"/>
        <v>0</v>
      </c>
      <c r="MJ49" s="75">
        <f t="shared" si="47"/>
        <v>0</v>
      </c>
      <c r="MK49" s="75">
        <f t="shared" si="47"/>
        <v>0</v>
      </c>
      <c r="ML49" s="75">
        <f t="shared" si="47"/>
        <v>503670</v>
      </c>
      <c r="MM49" s="75">
        <f t="shared" si="47"/>
        <v>0</v>
      </c>
      <c r="MN49" s="75">
        <f t="shared" si="47"/>
        <v>14500</v>
      </c>
      <c r="MO49" s="75">
        <f t="shared" si="47"/>
        <v>0</v>
      </c>
      <c r="MP49" s="75">
        <f t="shared" si="47"/>
        <v>0</v>
      </c>
      <c r="MQ49" s="75">
        <f t="shared" si="47"/>
        <v>0</v>
      </c>
      <c r="MR49" s="75">
        <f t="shared" si="47"/>
        <v>0</v>
      </c>
      <c r="MS49" s="75">
        <f t="shared" si="47"/>
        <v>0</v>
      </c>
      <c r="MT49" s="75">
        <f t="shared" si="47"/>
        <v>0</v>
      </c>
      <c r="MU49" s="75">
        <f t="shared" si="47"/>
        <v>200</v>
      </c>
      <c r="MV49" s="75">
        <f t="shared" si="47"/>
        <v>0</v>
      </c>
      <c r="MW49" s="75">
        <f t="shared" si="47"/>
        <v>0</v>
      </c>
      <c r="MX49" s="14"/>
      <c r="MY49" s="14"/>
      <c r="MZ49" s="2"/>
      <c r="NA49" s="2"/>
    </row>
    <row r="50" spans="1:365" ht="28.5" x14ac:dyDescent="0.2">
      <c r="A50" s="80" t="s">
        <v>249</v>
      </c>
      <c r="B50" s="80"/>
      <c r="C50" s="56">
        <f t="shared" si="11"/>
        <v>248436.19999999998</v>
      </c>
      <c r="D50" s="70"/>
      <c r="E50" s="70"/>
      <c r="F50" s="70">
        <v>3000</v>
      </c>
      <c r="G50" s="70">
        <v>857.9</v>
      </c>
      <c r="H50" s="70"/>
      <c r="I50" s="70"/>
      <c r="J50" s="70">
        <v>6000</v>
      </c>
      <c r="K50" s="70"/>
      <c r="L50" s="70">
        <v>1600</v>
      </c>
      <c r="M50" s="70"/>
      <c r="N50" s="70"/>
      <c r="O50" s="70"/>
      <c r="P50" s="70"/>
      <c r="Q50" s="70"/>
      <c r="R50" s="70"/>
      <c r="S50" s="70"/>
      <c r="T50" s="70"/>
      <c r="U50" s="70">
        <v>100</v>
      </c>
      <c r="V50" s="70">
        <v>1000</v>
      </c>
      <c r="W50" s="70">
        <v>2500</v>
      </c>
      <c r="X50" s="70"/>
      <c r="Y50" s="70"/>
      <c r="Z50" s="70">
        <v>350</v>
      </c>
      <c r="AA50" s="70"/>
      <c r="AB50" s="70"/>
      <c r="AC50" s="70"/>
      <c r="AD50" s="70"/>
      <c r="AE50" s="70">
        <f>11500+7735</f>
        <v>19235</v>
      </c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>
        <v>1000</v>
      </c>
      <c r="AQ50" s="70"/>
      <c r="AR50" s="70">
        <v>9500</v>
      </c>
      <c r="AS50" s="70">
        <v>5558</v>
      </c>
      <c r="AT50" s="70">
        <v>1400</v>
      </c>
      <c r="AU50" s="70"/>
      <c r="AV50" s="70"/>
      <c r="AW50" s="70">
        <v>9100</v>
      </c>
      <c r="AX50" s="70"/>
      <c r="AY50" s="70"/>
      <c r="AZ50" s="70"/>
      <c r="BA50" s="70"/>
      <c r="BB50" s="70"/>
      <c r="BC50" s="70">
        <f>520+957</f>
        <v>1477</v>
      </c>
      <c r="BD50" s="70"/>
      <c r="BE50" s="70"/>
      <c r="BF50" s="70"/>
      <c r="BG50" s="70">
        <v>1000</v>
      </c>
      <c r="BH50" s="70"/>
      <c r="BI50" s="70"/>
      <c r="BJ50" s="70"/>
      <c r="BK50" s="70"/>
      <c r="BL50" s="70"/>
      <c r="BM50" s="70">
        <v>1150</v>
      </c>
      <c r="BN50" s="70"/>
      <c r="BO50" s="70"/>
      <c r="BP50" s="70"/>
      <c r="BQ50" s="70"/>
      <c r="BR50" s="70"/>
      <c r="BS50" s="70">
        <v>200</v>
      </c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>
        <v>100</v>
      </c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>
        <v>2000</v>
      </c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>
        <v>100</v>
      </c>
      <c r="DI50" s="70">
        <v>1171</v>
      </c>
      <c r="DJ50" s="70"/>
      <c r="DK50" s="70"/>
      <c r="DL50" s="70"/>
      <c r="DM50" s="70"/>
      <c r="DN50" s="70"/>
      <c r="DO50" s="70">
        <v>950</v>
      </c>
      <c r="DP50" s="70"/>
      <c r="DQ50" s="70">
        <v>2950</v>
      </c>
      <c r="DR50" s="70"/>
      <c r="DS50" s="70"/>
      <c r="DT50" s="70">
        <v>2950</v>
      </c>
      <c r="DU50" s="70"/>
      <c r="DV50" s="70"/>
      <c r="DW50" s="70"/>
      <c r="DX50" s="70">
        <v>442.5</v>
      </c>
      <c r="DY50" s="70"/>
      <c r="DZ50" s="70"/>
      <c r="EA50" s="70">
        <v>1000</v>
      </c>
      <c r="EB50" s="70"/>
      <c r="EC50" s="70"/>
      <c r="ED50" s="70"/>
      <c r="EE50" s="70"/>
      <c r="EF50" s="70"/>
      <c r="EG50" s="70"/>
      <c r="EH50" s="70"/>
      <c r="EI50" s="70">
        <v>2400</v>
      </c>
      <c r="EJ50" s="70"/>
      <c r="EK50" s="70"/>
      <c r="EL50" s="70"/>
      <c r="EM50" s="70"/>
      <c r="EN50" s="70"/>
      <c r="EO50" s="70">
        <v>170</v>
      </c>
      <c r="EP50" s="70">
        <f>705+531</f>
        <v>1236</v>
      </c>
      <c r="EQ50" s="70"/>
      <c r="ER50" s="70"/>
      <c r="ES50" s="70">
        <v>750</v>
      </c>
      <c r="ET50" s="70"/>
      <c r="EU50" s="70"/>
      <c r="EV50" s="70">
        <v>1000</v>
      </c>
      <c r="EW50" s="70"/>
      <c r="EX50" s="70"/>
      <c r="EY50" s="70"/>
      <c r="EZ50" s="70"/>
      <c r="FA50" s="70">
        <v>2000</v>
      </c>
      <c r="FB50" s="70"/>
      <c r="FC50" s="70"/>
      <c r="FD50" s="70"/>
      <c r="FE50" s="70"/>
      <c r="FF50" s="70">
        <v>95</v>
      </c>
      <c r="FG50" s="70"/>
      <c r="FH50" s="70"/>
      <c r="FI50" s="70">
        <v>850</v>
      </c>
      <c r="FJ50" s="70"/>
      <c r="FK50" s="70"/>
      <c r="FL50" s="70"/>
      <c r="FM50" s="70">
        <v>400</v>
      </c>
      <c r="FN50" s="70"/>
      <c r="FO50" s="70"/>
      <c r="FP50" s="70"/>
      <c r="FQ50" s="70"/>
      <c r="FR50" s="70"/>
      <c r="FS50" s="70"/>
      <c r="FT50" s="70"/>
      <c r="FU50" s="70"/>
      <c r="FV50" s="70">
        <v>844.45</v>
      </c>
      <c r="FW50" s="70"/>
      <c r="FX50" s="70"/>
      <c r="FY50" s="70">
        <v>2500</v>
      </c>
      <c r="FZ50" s="70"/>
      <c r="GA50" s="70"/>
      <c r="GB50" s="70"/>
      <c r="GC50" s="70"/>
      <c r="GD50" s="70"/>
      <c r="GE50" s="70"/>
      <c r="GF50" s="70"/>
      <c r="GG50" s="70"/>
      <c r="GH50" s="70">
        <v>3000</v>
      </c>
      <c r="GI50" s="70"/>
      <c r="GJ50" s="70"/>
      <c r="GK50" s="70">
        <v>250</v>
      </c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>
        <v>575</v>
      </c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>
        <v>3250</v>
      </c>
      <c r="HN50" s="70">
        <v>700</v>
      </c>
      <c r="HO50" s="70"/>
      <c r="HP50" s="70"/>
      <c r="HQ50" s="70"/>
      <c r="HR50" s="70">
        <f>715+1025+1100+1400</f>
        <v>4240</v>
      </c>
      <c r="HS50" s="70"/>
      <c r="HT50" s="70"/>
      <c r="HU50" s="70"/>
      <c r="HV50" s="70"/>
      <c r="HW50" s="70"/>
      <c r="HX50" s="70"/>
      <c r="HY50" s="70"/>
      <c r="HZ50" s="70"/>
      <c r="IA50" s="70">
        <v>4250</v>
      </c>
      <c r="IB50" s="70"/>
      <c r="IC50" s="70"/>
      <c r="ID50" s="70"/>
      <c r="IE50" s="70"/>
      <c r="IF50" s="70"/>
      <c r="IG50" s="70"/>
      <c r="IH50" s="70"/>
      <c r="II50" s="70"/>
      <c r="IJ50" s="70"/>
      <c r="IK50" s="70">
        <v>600</v>
      </c>
      <c r="IL50" s="70"/>
      <c r="IM50" s="70"/>
      <c r="IN50" s="70"/>
      <c r="IO50" s="70"/>
      <c r="IP50" s="70">
        <f>1580.2+50</f>
        <v>1630.2</v>
      </c>
      <c r="IQ50" s="70"/>
      <c r="IR50" s="70"/>
      <c r="IS50" s="70"/>
      <c r="IT50" s="70"/>
      <c r="IU50" s="70"/>
      <c r="IV50" s="70"/>
      <c r="IW50" s="70"/>
      <c r="IX50" s="70"/>
      <c r="IY50" s="70"/>
      <c r="IZ50" s="70">
        <v>4034.15</v>
      </c>
      <c r="JA50" s="70"/>
      <c r="JB50" s="70"/>
      <c r="JC50" s="70"/>
      <c r="JD50" s="70"/>
      <c r="JE50" s="70"/>
      <c r="JF50" s="70"/>
      <c r="JG50" s="70">
        <v>200</v>
      </c>
      <c r="JH50" s="70"/>
      <c r="JI50" s="70"/>
      <c r="JJ50" s="70"/>
      <c r="JK50" s="70">
        <v>1000</v>
      </c>
      <c r="JL50" s="70">
        <v>500</v>
      </c>
      <c r="JM50" s="70"/>
      <c r="JN50" s="70"/>
      <c r="JO50" s="70"/>
      <c r="JP50" s="70"/>
      <c r="JQ50" s="70"/>
      <c r="JR50" s="70"/>
      <c r="JS50" s="70">
        <v>1000</v>
      </c>
      <c r="JT50" s="70"/>
      <c r="JU50" s="70"/>
      <c r="JV50" s="70"/>
      <c r="JW50" s="70">
        <v>18000</v>
      </c>
      <c r="JX50" s="70"/>
      <c r="JY50" s="70"/>
      <c r="JZ50" s="70"/>
      <c r="KA50" s="70"/>
      <c r="KB50" s="70"/>
      <c r="KC50" s="70"/>
      <c r="KD50" s="70"/>
      <c r="KE50" s="70"/>
      <c r="KF50" s="70"/>
      <c r="KG50" s="70">
        <v>4100</v>
      </c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>
        <v>1100</v>
      </c>
      <c r="LD50" s="70"/>
      <c r="LE50" s="70"/>
      <c r="LF50" s="70">
        <v>15000</v>
      </c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>
        <f>20000+75770</f>
        <v>95770</v>
      </c>
      <c r="MM50" s="70"/>
      <c r="MN50" s="70">
        <v>100</v>
      </c>
      <c r="MO50" s="70"/>
      <c r="MP50" s="70"/>
      <c r="MQ50" s="70"/>
      <c r="MR50" s="70"/>
      <c r="MS50" s="70"/>
      <c r="MT50" s="70"/>
      <c r="MU50" s="70">
        <v>200</v>
      </c>
      <c r="MV50" s="70"/>
      <c r="MW50" s="70"/>
      <c r="MX50" s="14"/>
      <c r="MY50" s="14"/>
      <c r="MZ50" s="2"/>
      <c r="NA50" s="2"/>
    </row>
    <row r="51" spans="1:365" ht="14.25" x14ac:dyDescent="0.2">
      <c r="A51" s="80" t="s">
        <v>247</v>
      </c>
      <c r="B51" s="80"/>
      <c r="C51" s="56">
        <f t="shared" si="11"/>
        <v>7557726</v>
      </c>
      <c r="D51" s="70"/>
      <c r="E51" s="70"/>
      <c r="F51" s="70">
        <v>50000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>
        <v>1180</v>
      </c>
      <c r="V51" s="70"/>
      <c r="W51" s="70">
        <v>1500</v>
      </c>
      <c r="X51" s="70"/>
      <c r="Y51" s="70"/>
      <c r="Z51" s="70">
        <v>2600</v>
      </c>
      <c r="AA51" s="70">
        <v>11304</v>
      </c>
      <c r="AB51" s="70">
        <v>16400</v>
      </c>
      <c r="AC51" s="70"/>
      <c r="AD51" s="70"/>
      <c r="AE51" s="70"/>
      <c r="AF51" s="70"/>
      <c r="AG51" s="70">
        <v>153500</v>
      </c>
      <c r="AH51" s="70">
        <v>4100</v>
      </c>
      <c r="AI51" s="70"/>
      <c r="AJ51" s="70"/>
      <c r="AK51" s="70"/>
      <c r="AL51" s="70"/>
      <c r="AM51" s="70"/>
      <c r="AN51" s="70"/>
      <c r="AO51" s="70"/>
      <c r="AP51" s="70"/>
      <c r="AQ51" s="70"/>
      <c r="AR51" s="70">
        <f>14034+5500+29740+2300</f>
        <v>51574</v>
      </c>
      <c r="AS51" s="70">
        <v>102000</v>
      </c>
      <c r="AT51" s="70"/>
      <c r="AU51" s="70"/>
      <c r="AV51" s="70"/>
      <c r="AW51" s="70">
        <v>53880</v>
      </c>
      <c r="AX51" s="70">
        <v>2698500</v>
      </c>
      <c r="AY51" s="70">
        <v>3000</v>
      </c>
      <c r="AZ51" s="70"/>
      <c r="BA51" s="70"/>
      <c r="BB51" s="70">
        <v>4800</v>
      </c>
      <c r="BC51" s="70">
        <v>5370</v>
      </c>
      <c r="BD51" s="70"/>
      <c r="BE51" s="70"/>
      <c r="BF51" s="70"/>
      <c r="BG51" s="70">
        <v>18500</v>
      </c>
      <c r="BH51" s="70"/>
      <c r="BI51" s="70"/>
      <c r="BJ51" s="70">
        <f>29325+3300+2630</f>
        <v>35255</v>
      </c>
      <c r="BK51" s="70"/>
      <c r="BL51" s="70">
        <v>30000</v>
      </c>
      <c r="BM51" s="70"/>
      <c r="BN51" s="70"/>
      <c r="BO51" s="70"/>
      <c r="BP51" s="70"/>
      <c r="BQ51" s="70"/>
      <c r="BR51" s="70">
        <v>4500</v>
      </c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>
        <v>2870</v>
      </c>
      <c r="CD51" s="70"/>
      <c r="CE51" s="70"/>
      <c r="CF51" s="70">
        <v>3250</v>
      </c>
      <c r="CG51" s="70"/>
      <c r="CH51" s="70">
        <v>62000</v>
      </c>
      <c r="CI51" s="70"/>
      <c r="CJ51" s="70">
        <f>2000+131600+8603+2200</f>
        <v>144403</v>
      </c>
      <c r="CK51" s="70"/>
      <c r="CL51" s="70"/>
      <c r="CM51" s="70"/>
      <c r="CN51" s="70"/>
      <c r="CO51" s="70"/>
      <c r="CP51" s="70">
        <v>574677</v>
      </c>
      <c r="CQ51" s="70"/>
      <c r="CR51" s="70"/>
      <c r="CS51" s="70"/>
      <c r="CT51" s="70"/>
      <c r="CU51" s="70"/>
      <c r="CV51" s="70"/>
      <c r="CW51" s="70"/>
      <c r="CX51" s="70"/>
      <c r="CY51" s="70">
        <v>2283000</v>
      </c>
      <c r="CZ51" s="70"/>
      <c r="DA51" s="70"/>
      <c r="DB51" s="70"/>
      <c r="DC51" s="70"/>
      <c r="DD51" s="70"/>
      <c r="DE51" s="70"/>
      <c r="DF51" s="70"/>
      <c r="DG51" s="70"/>
      <c r="DH51" s="70">
        <v>4500</v>
      </c>
      <c r="DI51" s="70"/>
      <c r="DJ51" s="70"/>
      <c r="DK51" s="70">
        <v>4600</v>
      </c>
      <c r="DL51" s="70"/>
      <c r="DM51" s="70">
        <v>3000</v>
      </c>
      <c r="DN51" s="70"/>
      <c r="DO51" s="70"/>
      <c r="DP51" s="70"/>
      <c r="DQ51" s="70"/>
      <c r="DR51" s="70">
        <v>2000</v>
      </c>
      <c r="DS51" s="70">
        <v>832</v>
      </c>
      <c r="DT51" s="70">
        <v>25875</v>
      </c>
      <c r="DU51" s="70"/>
      <c r="DV51" s="70"/>
      <c r="DW51" s="70"/>
      <c r="DX51" s="70">
        <v>2500</v>
      </c>
      <c r="DY51" s="70"/>
      <c r="DZ51" s="70"/>
      <c r="EA51" s="70">
        <v>3200</v>
      </c>
      <c r="EB51" s="70">
        <v>12000</v>
      </c>
      <c r="EC51" s="70"/>
      <c r="ED51" s="70"/>
      <c r="EE51" s="70"/>
      <c r="EF51" s="70"/>
      <c r="EG51" s="70"/>
      <c r="EH51" s="70"/>
      <c r="EI51" s="70">
        <v>10500</v>
      </c>
      <c r="EJ51" s="70"/>
      <c r="EK51" s="70"/>
      <c r="EL51" s="70">
        <v>7760</v>
      </c>
      <c r="EM51" s="70"/>
      <c r="EN51" s="70">
        <v>67481</v>
      </c>
      <c r="EO51" s="70">
        <v>1750</v>
      </c>
      <c r="EP51" s="70"/>
      <c r="EQ51" s="70">
        <v>3543</v>
      </c>
      <c r="ER51" s="70"/>
      <c r="ES51" s="70"/>
      <c r="ET51" s="70"/>
      <c r="EU51" s="70"/>
      <c r="EV51" s="70"/>
      <c r="EW51" s="70">
        <v>1400</v>
      </c>
      <c r="EX51" s="70"/>
      <c r="EY51" s="70">
        <v>19100</v>
      </c>
      <c r="EZ51" s="70"/>
      <c r="FA51" s="70"/>
      <c r="FB51" s="70">
        <v>20000</v>
      </c>
      <c r="FC51" s="70">
        <v>10324</v>
      </c>
      <c r="FD51" s="70"/>
      <c r="FE51" s="70"/>
      <c r="FF51" s="70">
        <v>490</v>
      </c>
      <c r="FG51" s="70"/>
      <c r="FH51" s="70"/>
      <c r="FI51" s="70">
        <v>2170</v>
      </c>
      <c r="FJ51" s="70"/>
      <c r="FK51" s="70"/>
      <c r="FL51" s="70"/>
      <c r="FM51" s="70">
        <f>1440+2429</f>
        <v>3869</v>
      </c>
      <c r="FN51" s="70"/>
      <c r="FO51" s="70"/>
      <c r="FP51" s="70"/>
      <c r="FQ51" s="78">
        <v>116510</v>
      </c>
      <c r="FR51" s="70">
        <v>27158</v>
      </c>
      <c r="FS51" s="70">
        <v>12306</v>
      </c>
      <c r="FT51" s="70"/>
      <c r="FU51" s="70"/>
      <c r="FV51" s="70">
        <v>6720</v>
      </c>
      <c r="FW51" s="70"/>
      <c r="FX51" s="70"/>
      <c r="FY51" s="70"/>
      <c r="FZ51" s="70"/>
      <c r="GA51" s="70"/>
      <c r="GB51" s="70"/>
      <c r="GC51" s="70"/>
      <c r="GD51" s="70">
        <v>98437</v>
      </c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>
        <f>7980+61376</f>
        <v>69356</v>
      </c>
      <c r="HS51" s="70"/>
      <c r="HT51" s="70"/>
      <c r="HU51" s="70"/>
      <c r="HV51" s="70"/>
      <c r="HW51" s="70"/>
      <c r="HX51" s="70"/>
      <c r="HY51" s="70"/>
      <c r="HZ51" s="70"/>
      <c r="IA51" s="70"/>
      <c r="IB51" s="70">
        <v>240162</v>
      </c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>
        <v>31900</v>
      </c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>
        <f>2320+500</f>
        <v>2820</v>
      </c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>
        <v>5000</v>
      </c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>
        <v>407900</v>
      </c>
      <c r="MM51" s="70"/>
      <c r="MN51" s="70">
        <v>14400</v>
      </c>
      <c r="MO51" s="70"/>
      <c r="MP51" s="70"/>
      <c r="MQ51" s="70"/>
      <c r="MR51" s="70"/>
      <c r="MS51" s="70"/>
      <c r="MT51" s="70"/>
      <c r="MU51" s="70"/>
      <c r="MV51" s="70"/>
      <c r="MW51" s="70"/>
      <c r="MX51" s="14"/>
      <c r="MY51" s="14"/>
      <c r="MZ51" s="2"/>
      <c r="NA51" s="2"/>
    </row>
    <row r="52" spans="1:365" ht="18" customHeight="1" x14ac:dyDescent="0.2">
      <c r="A52" s="81" t="s">
        <v>489</v>
      </c>
      <c r="B52" s="80"/>
      <c r="C52" s="56">
        <f t="shared" si="11"/>
        <v>0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5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5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5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5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5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5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5"/>
      <c r="MO52" s="55"/>
      <c r="MP52" s="55"/>
      <c r="MQ52" s="55"/>
      <c r="MR52" s="55"/>
      <c r="MS52" s="55"/>
      <c r="MT52" s="55"/>
      <c r="MU52" s="55"/>
      <c r="MV52" s="55"/>
      <c r="MW52" s="55"/>
      <c r="MX52" s="14"/>
      <c r="MY52" s="14"/>
      <c r="MZ52" s="2"/>
      <c r="NA52" s="2"/>
    </row>
    <row r="53" spans="1:365" ht="15.75" customHeight="1" x14ac:dyDescent="0.2">
      <c r="A53" s="81" t="s">
        <v>36</v>
      </c>
      <c r="B53" s="36" t="s">
        <v>37</v>
      </c>
      <c r="C53" s="82">
        <f>C54</f>
        <v>0</v>
      </c>
      <c r="D53" s="50">
        <f t="shared" ref="D53:BO53" si="48">D54</f>
        <v>0</v>
      </c>
      <c r="E53" s="50">
        <f t="shared" si="48"/>
        <v>0</v>
      </c>
      <c r="F53" s="50">
        <f t="shared" si="48"/>
        <v>0</v>
      </c>
      <c r="G53" s="50">
        <f t="shared" si="48"/>
        <v>0</v>
      </c>
      <c r="H53" s="50">
        <f t="shared" si="48"/>
        <v>0</v>
      </c>
      <c r="I53" s="50">
        <f t="shared" si="48"/>
        <v>0</v>
      </c>
      <c r="J53" s="50">
        <f t="shared" si="48"/>
        <v>0</v>
      </c>
      <c r="K53" s="50">
        <f t="shared" si="48"/>
        <v>0</v>
      </c>
      <c r="L53" s="50">
        <f t="shared" si="48"/>
        <v>0</v>
      </c>
      <c r="M53" s="50">
        <f t="shared" si="48"/>
        <v>0</v>
      </c>
      <c r="N53" s="50">
        <f t="shared" si="48"/>
        <v>0</v>
      </c>
      <c r="O53" s="50">
        <f t="shared" si="48"/>
        <v>0</v>
      </c>
      <c r="P53" s="50">
        <f t="shared" si="48"/>
        <v>0</v>
      </c>
      <c r="Q53" s="50">
        <f t="shared" si="48"/>
        <v>0</v>
      </c>
      <c r="R53" s="50">
        <f t="shared" si="48"/>
        <v>0</v>
      </c>
      <c r="S53" s="50">
        <f t="shared" si="48"/>
        <v>0</v>
      </c>
      <c r="T53" s="50">
        <f t="shared" si="48"/>
        <v>0</v>
      </c>
      <c r="U53" s="50">
        <f t="shared" si="48"/>
        <v>0</v>
      </c>
      <c r="V53" s="50">
        <f t="shared" si="48"/>
        <v>0</v>
      </c>
      <c r="W53" s="50">
        <f t="shared" si="48"/>
        <v>0</v>
      </c>
      <c r="X53" s="50">
        <f t="shared" si="48"/>
        <v>0</v>
      </c>
      <c r="Y53" s="50">
        <f t="shared" si="48"/>
        <v>0</v>
      </c>
      <c r="Z53" s="50">
        <f t="shared" si="48"/>
        <v>0</v>
      </c>
      <c r="AA53" s="50">
        <f t="shared" si="48"/>
        <v>0</v>
      </c>
      <c r="AB53" s="50">
        <f t="shared" si="48"/>
        <v>0</v>
      </c>
      <c r="AC53" s="50">
        <f t="shared" si="48"/>
        <v>0</v>
      </c>
      <c r="AD53" s="50">
        <f t="shared" si="48"/>
        <v>0</v>
      </c>
      <c r="AE53" s="50">
        <f t="shared" si="48"/>
        <v>0</v>
      </c>
      <c r="AF53" s="50">
        <f t="shared" si="48"/>
        <v>0</v>
      </c>
      <c r="AG53" s="50">
        <f t="shared" si="48"/>
        <v>0</v>
      </c>
      <c r="AH53" s="50">
        <f t="shared" si="48"/>
        <v>0</v>
      </c>
      <c r="AI53" s="50">
        <f t="shared" si="48"/>
        <v>0</v>
      </c>
      <c r="AJ53" s="50">
        <f t="shared" si="48"/>
        <v>0</v>
      </c>
      <c r="AK53" s="50">
        <f t="shared" si="48"/>
        <v>0</v>
      </c>
      <c r="AL53" s="50">
        <f t="shared" si="48"/>
        <v>0</v>
      </c>
      <c r="AM53" s="50">
        <f t="shared" si="48"/>
        <v>0</v>
      </c>
      <c r="AN53" s="50">
        <f t="shared" si="48"/>
        <v>0</v>
      </c>
      <c r="AO53" s="50">
        <f t="shared" si="48"/>
        <v>0</v>
      </c>
      <c r="AP53" s="50">
        <f t="shared" si="48"/>
        <v>0</v>
      </c>
      <c r="AQ53" s="50">
        <f t="shared" si="48"/>
        <v>0</v>
      </c>
      <c r="AR53" s="50">
        <f t="shared" si="48"/>
        <v>0</v>
      </c>
      <c r="AS53" s="50">
        <f t="shared" si="48"/>
        <v>0</v>
      </c>
      <c r="AT53" s="50">
        <f t="shared" si="48"/>
        <v>0</v>
      </c>
      <c r="AU53" s="50">
        <f t="shared" si="48"/>
        <v>0</v>
      </c>
      <c r="AV53" s="50">
        <f t="shared" si="48"/>
        <v>0</v>
      </c>
      <c r="AW53" s="50">
        <f t="shared" si="48"/>
        <v>0</v>
      </c>
      <c r="AX53" s="50">
        <f t="shared" si="48"/>
        <v>0</v>
      </c>
      <c r="AY53" s="50">
        <f t="shared" si="48"/>
        <v>0</v>
      </c>
      <c r="AZ53" s="50">
        <f t="shared" si="48"/>
        <v>0</v>
      </c>
      <c r="BA53" s="50">
        <f t="shared" si="48"/>
        <v>0</v>
      </c>
      <c r="BB53" s="50">
        <f t="shared" si="48"/>
        <v>0</v>
      </c>
      <c r="BC53" s="50">
        <f t="shared" si="48"/>
        <v>0</v>
      </c>
      <c r="BD53" s="50">
        <f t="shared" si="48"/>
        <v>0</v>
      </c>
      <c r="BE53" s="50">
        <f t="shared" si="48"/>
        <v>0</v>
      </c>
      <c r="BF53" s="50">
        <f t="shared" si="48"/>
        <v>0</v>
      </c>
      <c r="BG53" s="50">
        <f t="shared" si="48"/>
        <v>0</v>
      </c>
      <c r="BH53" s="50">
        <f t="shared" si="48"/>
        <v>0</v>
      </c>
      <c r="BI53" s="50">
        <f t="shared" si="48"/>
        <v>0</v>
      </c>
      <c r="BJ53" s="50">
        <f t="shared" si="48"/>
        <v>0</v>
      </c>
      <c r="BK53" s="50">
        <f t="shared" si="48"/>
        <v>0</v>
      </c>
      <c r="BL53" s="50">
        <f t="shared" si="48"/>
        <v>0</v>
      </c>
      <c r="BM53" s="50">
        <f t="shared" si="48"/>
        <v>0</v>
      </c>
      <c r="BN53" s="50">
        <f t="shared" si="48"/>
        <v>0</v>
      </c>
      <c r="BO53" s="50">
        <f t="shared" si="48"/>
        <v>0</v>
      </c>
      <c r="BP53" s="50">
        <f t="shared" ref="BP53:EA53" si="49">BP54</f>
        <v>0</v>
      </c>
      <c r="BQ53" s="50">
        <f t="shared" si="49"/>
        <v>0</v>
      </c>
      <c r="BR53" s="50">
        <f t="shared" si="49"/>
        <v>0</v>
      </c>
      <c r="BS53" s="50">
        <f t="shared" si="49"/>
        <v>0</v>
      </c>
      <c r="BT53" s="50">
        <f t="shared" si="49"/>
        <v>0</v>
      </c>
      <c r="BU53" s="50">
        <f t="shared" si="49"/>
        <v>0</v>
      </c>
      <c r="BV53" s="50">
        <f t="shared" si="49"/>
        <v>0</v>
      </c>
      <c r="BW53" s="50">
        <f t="shared" si="49"/>
        <v>0</v>
      </c>
      <c r="BX53" s="50">
        <f t="shared" si="49"/>
        <v>0</v>
      </c>
      <c r="BY53" s="50">
        <f t="shared" si="49"/>
        <v>0</v>
      </c>
      <c r="BZ53" s="50">
        <f t="shared" si="49"/>
        <v>0</v>
      </c>
      <c r="CA53" s="50">
        <f t="shared" si="49"/>
        <v>0</v>
      </c>
      <c r="CB53" s="50">
        <f t="shared" si="49"/>
        <v>0</v>
      </c>
      <c r="CC53" s="50">
        <f t="shared" si="49"/>
        <v>0</v>
      </c>
      <c r="CD53" s="50">
        <f t="shared" si="49"/>
        <v>0</v>
      </c>
      <c r="CE53" s="50">
        <f t="shared" si="49"/>
        <v>0</v>
      </c>
      <c r="CF53" s="50">
        <f t="shared" si="49"/>
        <v>0</v>
      </c>
      <c r="CG53" s="50">
        <f t="shared" si="49"/>
        <v>0</v>
      </c>
      <c r="CH53" s="50">
        <f t="shared" si="49"/>
        <v>0</v>
      </c>
      <c r="CI53" s="50">
        <f t="shared" si="49"/>
        <v>0</v>
      </c>
      <c r="CJ53" s="50">
        <f t="shared" si="49"/>
        <v>0</v>
      </c>
      <c r="CK53" s="50">
        <f t="shared" si="49"/>
        <v>0</v>
      </c>
      <c r="CL53" s="50">
        <f t="shared" si="49"/>
        <v>0</v>
      </c>
      <c r="CM53" s="50">
        <f t="shared" si="49"/>
        <v>0</v>
      </c>
      <c r="CN53" s="50">
        <f t="shared" si="49"/>
        <v>0</v>
      </c>
      <c r="CO53" s="50">
        <f t="shared" si="49"/>
        <v>0</v>
      </c>
      <c r="CP53" s="50">
        <f t="shared" si="49"/>
        <v>0</v>
      </c>
      <c r="CQ53" s="50">
        <f t="shared" si="49"/>
        <v>0</v>
      </c>
      <c r="CR53" s="50">
        <f t="shared" si="49"/>
        <v>0</v>
      </c>
      <c r="CS53" s="50">
        <f t="shared" si="49"/>
        <v>0</v>
      </c>
      <c r="CT53" s="50">
        <f t="shared" si="49"/>
        <v>0</v>
      </c>
      <c r="CU53" s="50">
        <f t="shared" si="49"/>
        <v>0</v>
      </c>
      <c r="CV53" s="50">
        <f t="shared" si="49"/>
        <v>0</v>
      </c>
      <c r="CW53" s="50">
        <f t="shared" si="49"/>
        <v>0</v>
      </c>
      <c r="CX53" s="50">
        <f t="shared" si="49"/>
        <v>0</v>
      </c>
      <c r="CY53" s="50">
        <f t="shared" si="49"/>
        <v>0</v>
      </c>
      <c r="CZ53" s="50">
        <f t="shared" si="49"/>
        <v>0</v>
      </c>
      <c r="DA53" s="50">
        <f t="shared" si="49"/>
        <v>0</v>
      </c>
      <c r="DB53" s="50">
        <f t="shared" si="49"/>
        <v>0</v>
      </c>
      <c r="DC53" s="50">
        <f t="shared" si="49"/>
        <v>0</v>
      </c>
      <c r="DD53" s="50">
        <f t="shared" si="49"/>
        <v>0</v>
      </c>
      <c r="DE53" s="50">
        <f t="shared" si="49"/>
        <v>0</v>
      </c>
      <c r="DF53" s="50">
        <f t="shared" si="49"/>
        <v>0</v>
      </c>
      <c r="DG53" s="50">
        <f t="shared" si="49"/>
        <v>0</v>
      </c>
      <c r="DH53" s="50">
        <f t="shared" si="49"/>
        <v>0</v>
      </c>
      <c r="DI53" s="50">
        <f t="shared" si="49"/>
        <v>0</v>
      </c>
      <c r="DJ53" s="50">
        <f t="shared" si="49"/>
        <v>0</v>
      </c>
      <c r="DK53" s="50">
        <f t="shared" si="49"/>
        <v>0</v>
      </c>
      <c r="DL53" s="50">
        <f t="shared" si="49"/>
        <v>0</v>
      </c>
      <c r="DM53" s="50">
        <f t="shared" si="49"/>
        <v>0</v>
      </c>
      <c r="DN53" s="50">
        <f t="shared" si="49"/>
        <v>0</v>
      </c>
      <c r="DO53" s="50">
        <f t="shared" si="49"/>
        <v>0</v>
      </c>
      <c r="DP53" s="50">
        <f t="shared" si="49"/>
        <v>0</v>
      </c>
      <c r="DQ53" s="50">
        <f t="shared" si="49"/>
        <v>0</v>
      </c>
      <c r="DR53" s="50">
        <f t="shared" si="49"/>
        <v>0</v>
      </c>
      <c r="DS53" s="50">
        <f t="shared" si="49"/>
        <v>0</v>
      </c>
      <c r="DT53" s="50">
        <f t="shared" si="49"/>
        <v>0</v>
      </c>
      <c r="DU53" s="50">
        <f t="shared" si="49"/>
        <v>0</v>
      </c>
      <c r="DV53" s="50">
        <f t="shared" si="49"/>
        <v>0</v>
      </c>
      <c r="DW53" s="50">
        <f t="shared" si="49"/>
        <v>0</v>
      </c>
      <c r="DX53" s="50">
        <f t="shared" si="49"/>
        <v>0</v>
      </c>
      <c r="DY53" s="50">
        <f t="shared" si="49"/>
        <v>0</v>
      </c>
      <c r="DZ53" s="50">
        <f t="shared" si="49"/>
        <v>0</v>
      </c>
      <c r="EA53" s="50">
        <f t="shared" si="49"/>
        <v>0</v>
      </c>
      <c r="EB53" s="50">
        <f t="shared" ref="EB53:GM53" si="50">EB54</f>
        <v>0</v>
      </c>
      <c r="EC53" s="50">
        <f t="shared" si="50"/>
        <v>0</v>
      </c>
      <c r="ED53" s="50">
        <f t="shared" si="50"/>
        <v>0</v>
      </c>
      <c r="EE53" s="50">
        <f t="shared" si="50"/>
        <v>0</v>
      </c>
      <c r="EF53" s="50">
        <f t="shared" si="50"/>
        <v>0</v>
      </c>
      <c r="EG53" s="50">
        <f t="shared" si="50"/>
        <v>0</v>
      </c>
      <c r="EH53" s="50">
        <f t="shared" si="50"/>
        <v>0</v>
      </c>
      <c r="EI53" s="50">
        <f t="shared" si="50"/>
        <v>0</v>
      </c>
      <c r="EJ53" s="50">
        <f t="shared" si="50"/>
        <v>0</v>
      </c>
      <c r="EK53" s="50">
        <f t="shared" si="50"/>
        <v>0</v>
      </c>
      <c r="EL53" s="50">
        <f t="shared" si="50"/>
        <v>0</v>
      </c>
      <c r="EM53" s="50">
        <f t="shared" si="50"/>
        <v>0</v>
      </c>
      <c r="EN53" s="50">
        <f t="shared" si="50"/>
        <v>0</v>
      </c>
      <c r="EO53" s="50">
        <f t="shared" si="50"/>
        <v>0</v>
      </c>
      <c r="EP53" s="50">
        <f t="shared" si="50"/>
        <v>0</v>
      </c>
      <c r="EQ53" s="50">
        <f t="shared" si="50"/>
        <v>0</v>
      </c>
      <c r="ER53" s="50">
        <f t="shared" si="50"/>
        <v>0</v>
      </c>
      <c r="ES53" s="50">
        <f t="shared" si="50"/>
        <v>0</v>
      </c>
      <c r="ET53" s="50">
        <f t="shared" si="50"/>
        <v>0</v>
      </c>
      <c r="EU53" s="50">
        <f t="shared" si="50"/>
        <v>0</v>
      </c>
      <c r="EV53" s="50">
        <f t="shared" si="50"/>
        <v>0</v>
      </c>
      <c r="EW53" s="50">
        <f t="shared" si="50"/>
        <v>0</v>
      </c>
      <c r="EX53" s="50">
        <f t="shared" si="50"/>
        <v>0</v>
      </c>
      <c r="EY53" s="50">
        <f t="shared" si="50"/>
        <v>0</v>
      </c>
      <c r="EZ53" s="50">
        <f t="shared" si="50"/>
        <v>0</v>
      </c>
      <c r="FA53" s="50">
        <f t="shared" si="50"/>
        <v>0</v>
      </c>
      <c r="FB53" s="50">
        <f t="shared" si="50"/>
        <v>0</v>
      </c>
      <c r="FC53" s="50">
        <f t="shared" si="50"/>
        <v>0</v>
      </c>
      <c r="FD53" s="50">
        <f t="shared" si="50"/>
        <v>0</v>
      </c>
      <c r="FE53" s="50">
        <f t="shared" si="50"/>
        <v>0</v>
      </c>
      <c r="FF53" s="50">
        <f t="shared" si="50"/>
        <v>0</v>
      </c>
      <c r="FG53" s="50">
        <f t="shared" si="50"/>
        <v>0</v>
      </c>
      <c r="FH53" s="50">
        <f t="shared" si="50"/>
        <v>0</v>
      </c>
      <c r="FI53" s="50">
        <f t="shared" si="50"/>
        <v>0</v>
      </c>
      <c r="FJ53" s="50">
        <f t="shared" si="50"/>
        <v>0</v>
      </c>
      <c r="FK53" s="50">
        <f t="shared" si="50"/>
        <v>0</v>
      </c>
      <c r="FL53" s="50">
        <f t="shared" si="50"/>
        <v>0</v>
      </c>
      <c r="FM53" s="50">
        <f t="shared" si="50"/>
        <v>0</v>
      </c>
      <c r="FN53" s="50">
        <f t="shared" si="50"/>
        <v>0</v>
      </c>
      <c r="FO53" s="50">
        <f t="shared" si="50"/>
        <v>0</v>
      </c>
      <c r="FP53" s="50">
        <f t="shared" si="50"/>
        <v>0</v>
      </c>
      <c r="FQ53" s="50">
        <f t="shared" si="50"/>
        <v>0</v>
      </c>
      <c r="FR53" s="50">
        <f t="shared" si="50"/>
        <v>0</v>
      </c>
      <c r="FS53" s="50">
        <f t="shared" si="50"/>
        <v>0</v>
      </c>
      <c r="FT53" s="50">
        <f t="shared" si="50"/>
        <v>0</v>
      </c>
      <c r="FU53" s="50">
        <f t="shared" si="50"/>
        <v>0</v>
      </c>
      <c r="FV53" s="50">
        <f t="shared" si="50"/>
        <v>0</v>
      </c>
      <c r="FW53" s="50">
        <f t="shared" si="50"/>
        <v>0</v>
      </c>
      <c r="FX53" s="50">
        <f t="shared" si="50"/>
        <v>0</v>
      </c>
      <c r="FY53" s="50">
        <f t="shared" si="50"/>
        <v>0</v>
      </c>
      <c r="FZ53" s="50">
        <f t="shared" si="50"/>
        <v>0</v>
      </c>
      <c r="GA53" s="50">
        <f t="shared" si="50"/>
        <v>0</v>
      </c>
      <c r="GB53" s="50">
        <f t="shared" si="50"/>
        <v>0</v>
      </c>
      <c r="GC53" s="50">
        <f t="shared" si="50"/>
        <v>0</v>
      </c>
      <c r="GD53" s="50">
        <f t="shared" si="50"/>
        <v>0</v>
      </c>
      <c r="GE53" s="50">
        <f t="shared" si="50"/>
        <v>0</v>
      </c>
      <c r="GF53" s="50">
        <f t="shared" si="50"/>
        <v>0</v>
      </c>
      <c r="GG53" s="50">
        <f t="shared" si="50"/>
        <v>0</v>
      </c>
      <c r="GH53" s="50">
        <f t="shared" si="50"/>
        <v>0</v>
      </c>
      <c r="GI53" s="50">
        <f t="shared" si="50"/>
        <v>0</v>
      </c>
      <c r="GJ53" s="50">
        <f t="shared" si="50"/>
        <v>0</v>
      </c>
      <c r="GK53" s="50">
        <f t="shared" si="50"/>
        <v>0</v>
      </c>
      <c r="GL53" s="50">
        <f t="shared" si="50"/>
        <v>0</v>
      </c>
      <c r="GM53" s="50">
        <f t="shared" si="50"/>
        <v>0</v>
      </c>
      <c r="GN53" s="50">
        <f t="shared" ref="GN53:IY53" si="51">GN54</f>
        <v>0</v>
      </c>
      <c r="GO53" s="50">
        <f t="shared" si="51"/>
        <v>0</v>
      </c>
      <c r="GP53" s="50">
        <f t="shared" si="51"/>
        <v>0</v>
      </c>
      <c r="GQ53" s="50">
        <f t="shared" si="51"/>
        <v>0</v>
      </c>
      <c r="GR53" s="50">
        <f t="shared" si="51"/>
        <v>0</v>
      </c>
      <c r="GS53" s="50">
        <f t="shared" si="51"/>
        <v>0</v>
      </c>
      <c r="GT53" s="50">
        <f t="shared" si="51"/>
        <v>0</v>
      </c>
      <c r="GU53" s="50">
        <f t="shared" si="51"/>
        <v>0</v>
      </c>
      <c r="GV53" s="50">
        <f t="shared" si="51"/>
        <v>0</v>
      </c>
      <c r="GW53" s="50">
        <f t="shared" si="51"/>
        <v>0</v>
      </c>
      <c r="GX53" s="50">
        <f t="shared" si="51"/>
        <v>0</v>
      </c>
      <c r="GY53" s="50">
        <f t="shared" si="51"/>
        <v>0</v>
      </c>
      <c r="GZ53" s="50">
        <f t="shared" si="51"/>
        <v>0</v>
      </c>
      <c r="HA53" s="50">
        <f t="shared" si="51"/>
        <v>0</v>
      </c>
      <c r="HB53" s="50">
        <f t="shared" si="51"/>
        <v>0</v>
      </c>
      <c r="HC53" s="50">
        <f t="shared" si="51"/>
        <v>0</v>
      </c>
      <c r="HD53" s="50">
        <f t="shared" si="51"/>
        <v>0</v>
      </c>
      <c r="HE53" s="50">
        <f t="shared" si="51"/>
        <v>0</v>
      </c>
      <c r="HF53" s="50">
        <f t="shared" si="51"/>
        <v>0</v>
      </c>
      <c r="HG53" s="50">
        <f t="shared" si="51"/>
        <v>0</v>
      </c>
      <c r="HH53" s="50">
        <f t="shared" si="51"/>
        <v>0</v>
      </c>
      <c r="HI53" s="50">
        <f t="shared" si="51"/>
        <v>0</v>
      </c>
      <c r="HJ53" s="50">
        <f t="shared" si="51"/>
        <v>0</v>
      </c>
      <c r="HK53" s="50">
        <f t="shared" si="51"/>
        <v>0</v>
      </c>
      <c r="HL53" s="50">
        <f t="shared" si="51"/>
        <v>0</v>
      </c>
      <c r="HM53" s="50">
        <f t="shared" si="51"/>
        <v>0</v>
      </c>
      <c r="HN53" s="50">
        <f t="shared" si="51"/>
        <v>0</v>
      </c>
      <c r="HO53" s="50">
        <f t="shared" si="51"/>
        <v>0</v>
      </c>
      <c r="HP53" s="50">
        <f t="shared" si="51"/>
        <v>0</v>
      </c>
      <c r="HQ53" s="50">
        <f t="shared" si="51"/>
        <v>0</v>
      </c>
      <c r="HR53" s="50">
        <f t="shared" si="51"/>
        <v>0</v>
      </c>
      <c r="HS53" s="50">
        <f t="shared" si="51"/>
        <v>0</v>
      </c>
      <c r="HT53" s="50">
        <f t="shared" si="51"/>
        <v>0</v>
      </c>
      <c r="HU53" s="50">
        <f t="shared" si="51"/>
        <v>0</v>
      </c>
      <c r="HV53" s="50">
        <f t="shared" si="51"/>
        <v>0</v>
      </c>
      <c r="HW53" s="50">
        <f t="shared" si="51"/>
        <v>0</v>
      </c>
      <c r="HX53" s="50">
        <f t="shared" si="51"/>
        <v>0</v>
      </c>
      <c r="HY53" s="50">
        <f t="shared" si="51"/>
        <v>0</v>
      </c>
      <c r="HZ53" s="50">
        <f t="shared" si="51"/>
        <v>0</v>
      </c>
      <c r="IA53" s="50">
        <f t="shared" si="51"/>
        <v>0</v>
      </c>
      <c r="IB53" s="50">
        <f t="shared" si="51"/>
        <v>0</v>
      </c>
      <c r="IC53" s="50">
        <f t="shared" si="51"/>
        <v>0</v>
      </c>
      <c r="ID53" s="50">
        <f t="shared" si="51"/>
        <v>0</v>
      </c>
      <c r="IE53" s="50">
        <f t="shared" si="51"/>
        <v>0</v>
      </c>
      <c r="IF53" s="50">
        <f t="shared" si="51"/>
        <v>0</v>
      </c>
      <c r="IG53" s="50">
        <f t="shared" si="51"/>
        <v>0</v>
      </c>
      <c r="IH53" s="50">
        <f t="shared" si="51"/>
        <v>0</v>
      </c>
      <c r="II53" s="50">
        <f t="shared" si="51"/>
        <v>0</v>
      </c>
      <c r="IJ53" s="50">
        <f t="shared" si="51"/>
        <v>0</v>
      </c>
      <c r="IK53" s="50">
        <f t="shared" si="51"/>
        <v>0</v>
      </c>
      <c r="IL53" s="50">
        <f t="shared" si="51"/>
        <v>0</v>
      </c>
      <c r="IM53" s="50">
        <f t="shared" si="51"/>
        <v>0</v>
      </c>
      <c r="IN53" s="50">
        <f t="shared" si="51"/>
        <v>0</v>
      </c>
      <c r="IO53" s="50">
        <f t="shared" si="51"/>
        <v>0</v>
      </c>
      <c r="IP53" s="50">
        <f t="shared" si="51"/>
        <v>0</v>
      </c>
      <c r="IQ53" s="50">
        <f t="shared" si="51"/>
        <v>0</v>
      </c>
      <c r="IR53" s="50">
        <f t="shared" si="51"/>
        <v>0</v>
      </c>
      <c r="IS53" s="50">
        <f t="shared" si="51"/>
        <v>0</v>
      </c>
      <c r="IT53" s="50">
        <f t="shared" si="51"/>
        <v>0</v>
      </c>
      <c r="IU53" s="50">
        <f t="shared" si="51"/>
        <v>0</v>
      </c>
      <c r="IV53" s="50">
        <f t="shared" si="51"/>
        <v>0</v>
      </c>
      <c r="IW53" s="50">
        <f t="shared" si="51"/>
        <v>0</v>
      </c>
      <c r="IX53" s="50">
        <f t="shared" si="51"/>
        <v>0</v>
      </c>
      <c r="IY53" s="50">
        <f t="shared" si="51"/>
        <v>0</v>
      </c>
      <c r="IZ53" s="50">
        <f t="shared" ref="IZ53:LK53" si="52">IZ54</f>
        <v>0</v>
      </c>
      <c r="JA53" s="50">
        <f t="shared" si="52"/>
        <v>0</v>
      </c>
      <c r="JB53" s="50">
        <f t="shared" si="52"/>
        <v>0</v>
      </c>
      <c r="JC53" s="50">
        <f t="shared" si="52"/>
        <v>0</v>
      </c>
      <c r="JD53" s="50">
        <f t="shared" si="52"/>
        <v>0</v>
      </c>
      <c r="JE53" s="50">
        <f t="shared" si="52"/>
        <v>0</v>
      </c>
      <c r="JF53" s="50">
        <f t="shared" si="52"/>
        <v>0</v>
      </c>
      <c r="JG53" s="50">
        <f t="shared" si="52"/>
        <v>0</v>
      </c>
      <c r="JH53" s="50">
        <f t="shared" si="52"/>
        <v>0</v>
      </c>
      <c r="JI53" s="50">
        <f t="shared" si="52"/>
        <v>0</v>
      </c>
      <c r="JJ53" s="50">
        <f t="shared" si="52"/>
        <v>0</v>
      </c>
      <c r="JK53" s="50">
        <f t="shared" si="52"/>
        <v>0</v>
      </c>
      <c r="JL53" s="50">
        <f t="shared" si="52"/>
        <v>0</v>
      </c>
      <c r="JM53" s="50">
        <f t="shared" si="52"/>
        <v>0</v>
      </c>
      <c r="JN53" s="50">
        <f t="shared" si="52"/>
        <v>0</v>
      </c>
      <c r="JO53" s="50">
        <f t="shared" si="52"/>
        <v>0</v>
      </c>
      <c r="JP53" s="50">
        <f t="shared" si="52"/>
        <v>0</v>
      </c>
      <c r="JQ53" s="50">
        <f t="shared" si="52"/>
        <v>0</v>
      </c>
      <c r="JR53" s="50">
        <f t="shared" si="52"/>
        <v>0</v>
      </c>
      <c r="JS53" s="50">
        <f t="shared" si="52"/>
        <v>0</v>
      </c>
      <c r="JT53" s="50">
        <f t="shared" si="52"/>
        <v>0</v>
      </c>
      <c r="JU53" s="50">
        <f t="shared" si="52"/>
        <v>0</v>
      </c>
      <c r="JV53" s="50">
        <f t="shared" si="52"/>
        <v>0</v>
      </c>
      <c r="JW53" s="50">
        <f t="shared" si="52"/>
        <v>0</v>
      </c>
      <c r="JX53" s="50">
        <f t="shared" si="52"/>
        <v>0</v>
      </c>
      <c r="JY53" s="50">
        <f t="shared" si="52"/>
        <v>0</v>
      </c>
      <c r="JZ53" s="50">
        <f t="shared" si="52"/>
        <v>0</v>
      </c>
      <c r="KA53" s="50">
        <f t="shared" si="52"/>
        <v>0</v>
      </c>
      <c r="KB53" s="50">
        <f t="shared" si="52"/>
        <v>0</v>
      </c>
      <c r="KC53" s="50">
        <f t="shared" si="52"/>
        <v>0</v>
      </c>
      <c r="KD53" s="50">
        <f t="shared" si="52"/>
        <v>0</v>
      </c>
      <c r="KE53" s="50">
        <f t="shared" si="52"/>
        <v>0</v>
      </c>
      <c r="KF53" s="50">
        <f t="shared" si="52"/>
        <v>0</v>
      </c>
      <c r="KG53" s="50">
        <f t="shared" si="52"/>
        <v>0</v>
      </c>
      <c r="KH53" s="50">
        <f t="shared" si="52"/>
        <v>0</v>
      </c>
      <c r="KI53" s="50">
        <f t="shared" si="52"/>
        <v>0</v>
      </c>
      <c r="KJ53" s="50">
        <f t="shared" si="52"/>
        <v>0</v>
      </c>
      <c r="KK53" s="50">
        <f t="shared" si="52"/>
        <v>0</v>
      </c>
      <c r="KL53" s="50">
        <f t="shared" si="52"/>
        <v>0</v>
      </c>
      <c r="KM53" s="50">
        <f t="shared" si="52"/>
        <v>0</v>
      </c>
      <c r="KN53" s="50">
        <f t="shared" si="52"/>
        <v>0</v>
      </c>
      <c r="KO53" s="50">
        <f t="shared" si="52"/>
        <v>0</v>
      </c>
      <c r="KP53" s="50">
        <f t="shared" si="52"/>
        <v>0</v>
      </c>
      <c r="KQ53" s="50">
        <f t="shared" si="52"/>
        <v>0</v>
      </c>
      <c r="KR53" s="50">
        <f t="shared" si="52"/>
        <v>0</v>
      </c>
      <c r="KS53" s="50">
        <f t="shared" si="52"/>
        <v>0</v>
      </c>
      <c r="KT53" s="50">
        <f t="shared" si="52"/>
        <v>0</v>
      </c>
      <c r="KU53" s="50">
        <f t="shared" si="52"/>
        <v>0</v>
      </c>
      <c r="KV53" s="50">
        <f t="shared" si="52"/>
        <v>0</v>
      </c>
      <c r="KW53" s="50">
        <f t="shared" si="52"/>
        <v>0</v>
      </c>
      <c r="KX53" s="50">
        <f t="shared" si="52"/>
        <v>0</v>
      </c>
      <c r="KY53" s="50">
        <f t="shared" si="52"/>
        <v>0</v>
      </c>
      <c r="KZ53" s="50">
        <f t="shared" si="52"/>
        <v>0</v>
      </c>
      <c r="LA53" s="50">
        <f t="shared" si="52"/>
        <v>0</v>
      </c>
      <c r="LB53" s="50">
        <f t="shared" si="52"/>
        <v>0</v>
      </c>
      <c r="LC53" s="50">
        <f t="shared" si="52"/>
        <v>0</v>
      </c>
      <c r="LD53" s="50">
        <f t="shared" si="52"/>
        <v>0</v>
      </c>
      <c r="LE53" s="50">
        <f t="shared" si="52"/>
        <v>0</v>
      </c>
      <c r="LF53" s="50">
        <f t="shared" si="52"/>
        <v>0</v>
      </c>
      <c r="LG53" s="50">
        <f t="shared" si="52"/>
        <v>0</v>
      </c>
      <c r="LH53" s="50">
        <f t="shared" si="52"/>
        <v>0</v>
      </c>
      <c r="LI53" s="50">
        <f t="shared" si="52"/>
        <v>0</v>
      </c>
      <c r="LJ53" s="50">
        <f t="shared" si="52"/>
        <v>0</v>
      </c>
      <c r="LK53" s="50">
        <f t="shared" si="52"/>
        <v>0</v>
      </c>
      <c r="LL53" s="50">
        <f t="shared" ref="LL53:MW53" si="53">LL54</f>
        <v>0</v>
      </c>
      <c r="LM53" s="50">
        <f t="shared" si="53"/>
        <v>0</v>
      </c>
      <c r="LN53" s="50">
        <f t="shared" si="53"/>
        <v>0</v>
      </c>
      <c r="LO53" s="50">
        <f t="shared" si="53"/>
        <v>0</v>
      </c>
      <c r="LP53" s="50">
        <f t="shared" si="53"/>
        <v>0</v>
      </c>
      <c r="LQ53" s="50">
        <f t="shared" si="53"/>
        <v>0</v>
      </c>
      <c r="LR53" s="50">
        <f t="shared" si="53"/>
        <v>0</v>
      </c>
      <c r="LS53" s="50">
        <f t="shared" si="53"/>
        <v>0</v>
      </c>
      <c r="LT53" s="50">
        <f t="shared" si="53"/>
        <v>0</v>
      </c>
      <c r="LU53" s="50">
        <f t="shared" si="53"/>
        <v>0</v>
      </c>
      <c r="LV53" s="50">
        <f t="shared" si="53"/>
        <v>0</v>
      </c>
      <c r="LW53" s="50">
        <f t="shared" si="53"/>
        <v>0</v>
      </c>
      <c r="LX53" s="50">
        <f t="shared" si="53"/>
        <v>0</v>
      </c>
      <c r="LY53" s="50">
        <f t="shared" si="53"/>
        <v>0</v>
      </c>
      <c r="LZ53" s="50">
        <f t="shared" si="53"/>
        <v>0</v>
      </c>
      <c r="MA53" s="50">
        <f t="shared" si="53"/>
        <v>0</v>
      </c>
      <c r="MB53" s="50">
        <f t="shared" si="53"/>
        <v>0</v>
      </c>
      <c r="MC53" s="50">
        <f t="shared" si="53"/>
        <v>0</v>
      </c>
      <c r="MD53" s="50">
        <f t="shared" si="53"/>
        <v>0</v>
      </c>
      <c r="ME53" s="50">
        <f t="shared" si="53"/>
        <v>0</v>
      </c>
      <c r="MF53" s="50">
        <f t="shared" si="53"/>
        <v>0</v>
      </c>
      <c r="MG53" s="50">
        <f t="shared" si="53"/>
        <v>0</v>
      </c>
      <c r="MH53" s="50">
        <f t="shared" si="53"/>
        <v>0</v>
      </c>
      <c r="MI53" s="50">
        <f t="shared" si="53"/>
        <v>0</v>
      </c>
      <c r="MJ53" s="50">
        <f t="shared" si="53"/>
        <v>0</v>
      </c>
      <c r="MK53" s="50">
        <f t="shared" si="53"/>
        <v>0</v>
      </c>
      <c r="ML53" s="50">
        <f t="shared" si="53"/>
        <v>0</v>
      </c>
      <c r="MM53" s="50">
        <f t="shared" si="53"/>
        <v>0</v>
      </c>
      <c r="MN53" s="50">
        <f t="shared" si="53"/>
        <v>0</v>
      </c>
      <c r="MO53" s="50">
        <f t="shared" si="53"/>
        <v>0</v>
      </c>
      <c r="MP53" s="50">
        <f t="shared" si="53"/>
        <v>0</v>
      </c>
      <c r="MQ53" s="50">
        <f t="shared" si="53"/>
        <v>0</v>
      </c>
      <c r="MR53" s="50">
        <f t="shared" si="53"/>
        <v>0</v>
      </c>
      <c r="MS53" s="50">
        <f t="shared" si="53"/>
        <v>0</v>
      </c>
      <c r="MT53" s="50">
        <f t="shared" si="53"/>
        <v>0</v>
      </c>
      <c r="MU53" s="50">
        <f t="shared" si="53"/>
        <v>0</v>
      </c>
      <c r="MV53" s="50">
        <f t="shared" si="53"/>
        <v>0</v>
      </c>
      <c r="MW53" s="50">
        <f t="shared" si="53"/>
        <v>0</v>
      </c>
      <c r="MX53" s="54"/>
      <c r="MY53" s="54"/>
      <c r="MZ53" s="3"/>
      <c r="NA53" s="3"/>
    </row>
    <row r="54" spans="1:365" ht="14.25" customHeight="1" x14ac:dyDescent="0.2">
      <c r="A54" s="80" t="s">
        <v>38</v>
      </c>
      <c r="B54" s="80"/>
      <c r="C54" s="56">
        <f t="shared" si="1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  <c r="IW54" s="70"/>
      <c r="IX54" s="70"/>
      <c r="IY54" s="70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0"/>
      <c r="JO54" s="70"/>
      <c r="JP54" s="70"/>
      <c r="JQ54" s="70"/>
      <c r="JR54" s="70"/>
      <c r="JS54" s="70"/>
      <c r="JT54" s="70"/>
      <c r="JU54" s="70"/>
      <c r="JV54" s="70"/>
      <c r="JW54" s="70"/>
      <c r="JX54" s="70"/>
      <c r="JY54" s="70"/>
      <c r="JZ54" s="70"/>
      <c r="KA54" s="70"/>
      <c r="KB54" s="70"/>
      <c r="KC54" s="70"/>
      <c r="KD54" s="70"/>
      <c r="KE54" s="70"/>
      <c r="KF54" s="70"/>
      <c r="KG54" s="70"/>
      <c r="KH54" s="70"/>
      <c r="KI54" s="70"/>
      <c r="KJ54" s="70"/>
      <c r="KK54" s="70"/>
      <c r="KL54" s="70"/>
      <c r="KM54" s="70"/>
      <c r="KN54" s="70"/>
      <c r="KO54" s="70"/>
      <c r="KP54" s="70"/>
      <c r="KQ54" s="70"/>
      <c r="KR54" s="70"/>
      <c r="KS54" s="70"/>
      <c r="KT54" s="70"/>
      <c r="KU54" s="70"/>
      <c r="KV54" s="70"/>
      <c r="KW54" s="70"/>
      <c r="KX54" s="70"/>
      <c r="KY54" s="70"/>
      <c r="KZ54" s="70"/>
      <c r="LA54" s="70"/>
      <c r="LB54" s="70"/>
      <c r="LC54" s="70"/>
      <c r="LD54" s="70"/>
      <c r="LE54" s="70"/>
      <c r="LF54" s="70"/>
      <c r="LG54" s="70"/>
      <c r="LH54" s="70"/>
      <c r="LI54" s="70"/>
      <c r="LJ54" s="70"/>
      <c r="LK54" s="70"/>
      <c r="LL54" s="70"/>
      <c r="LM54" s="70"/>
      <c r="LN54" s="70"/>
      <c r="LO54" s="70"/>
      <c r="LP54" s="70"/>
      <c r="LQ54" s="70"/>
      <c r="LR54" s="70"/>
      <c r="LS54" s="70"/>
      <c r="LT54" s="70"/>
      <c r="LU54" s="70"/>
      <c r="LV54" s="70"/>
      <c r="LW54" s="70"/>
      <c r="LX54" s="70"/>
      <c r="LY54" s="70"/>
      <c r="LZ54" s="70"/>
      <c r="MA54" s="70"/>
      <c r="MB54" s="70"/>
      <c r="MC54" s="70"/>
      <c r="MD54" s="70"/>
      <c r="ME54" s="70"/>
      <c r="MF54" s="70"/>
      <c r="MG54" s="70"/>
      <c r="MH54" s="70"/>
      <c r="MI54" s="70"/>
      <c r="MJ54" s="70"/>
      <c r="MK54" s="70"/>
      <c r="ML54" s="70"/>
      <c r="MM54" s="70"/>
      <c r="MN54" s="70"/>
      <c r="MO54" s="70"/>
      <c r="MP54" s="70"/>
      <c r="MQ54" s="70"/>
      <c r="MR54" s="70"/>
      <c r="MS54" s="70"/>
      <c r="MT54" s="70"/>
      <c r="MU54" s="70"/>
      <c r="MV54" s="70"/>
      <c r="MW54" s="70"/>
      <c r="MX54" s="14"/>
      <c r="MY54" s="14"/>
      <c r="MZ54" s="2"/>
      <c r="NA54" s="2"/>
    </row>
    <row r="55" spans="1:365" ht="14.25" x14ac:dyDescent="0.2">
      <c r="A55" s="88" t="s">
        <v>482</v>
      </c>
      <c r="B55" s="21"/>
      <c r="C55" s="21"/>
      <c r="D55" s="2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83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83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 t="s">
        <v>472</v>
      </c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84" t="s">
        <v>473</v>
      </c>
      <c r="MS55" s="84"/>
      <c r="MT55" s="84"/>
      <c r="MU55" s="84"/>
      <c r="MV55" s="84"/>
      <c r="MW55" s="84"/>
      <c r="MX55" s="84"/>
      <c r="MY55" s="84"/>
      <c r="MZ55" s="11"/>
      <c r="NA55" s="11"/>
    </row>
    <row r="56" spans="1:365" ht="15" x14ac:dyDescent="0.25">
      <c r="A56" s="87" t="s">
        <v>483</v>
      </c>
      <c r="B56" s="21"/>
      <c r="C56" s="21"/>
      <c r="D56" s="2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84" t="s">
        <v>474</v>
      </c>
      <c r="MS56" s="84"/>
      <c r="MT56" s="84"/>
      <c r="MU56" s="85" t="s">
        <v>475</v>
      </c>
      <c r="MV56" s="14"/>
      <c r="MW56" s="84"/>
      <c r="MX56" s="15" t="s">
        <v>476</v>
      </c>
      <c r="MY56" s="84"/>
      <c r="MZ56" s="12"/>
      <c r="NA56" s="12"/>
    </row>
    <row r="57" spans="1:365" ht="15" x14ac:dyDescent="0.2">
      <c r="A57" s="87" t="s">
        <v>474</v>
      </c>
      <c r="B57" s="21"/>
      <c r="C57" s="21"/>
      <c r="D57" s="2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33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84"/>
      <c r="MS57" s="84"/>
      <c r="MT57" s="84"/>
      <c r="MU57" s="86" t="s">
        <v>477</v>
      </c>
      <c r="MV57" s="84"/>
      <c r="MW57" s="84"/>
      <c r="MX57" s="84"/>
      <c r="MY57" s="84"/>
      <c r="MZ57" s="12"/>
      <c r="NA57" s="16"/>
    </row>
    <row r="58" spans="1:365" x14ac:dyDescent="0.2">
      <c r="A58" s="19" t="s">
        <v>484</v>
      </c>
      <c r="B58" s="19"/>
      <c r="C58" s="19"/>
      <c r="D58" s="1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12"/>
      <c r="MS58" s="12"/>
      <c r="MT58" s="12"/>
      <c r="MU58" s="18" t="s">
        <v>479</v>
      </c>
      <c r="MV58" s="12"/>
      <c r="MW58" s="12"/>
      <c r="MX58" s="12"/>
      <c r="MY58" s="12"/>
      <c r="MZ58" s="12"/>
      <c r="NA58" s="17"/>
    </row>
    <row r="59" spans="1:365" x14ac:dyDescent="0.2">
      <c r="A59" s="19" t="s">
        <v>490</v>
      </c>
      <c r="B59" s="19"/>
      <c r="C59" s="19"/>
      <c r="D59" s="1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12"/>
      <c r="MS59" s="12"/>
      <c r="MT59" s="12"/>
      <c r="MU59" s="12"/>
      <c r="MV59" s="12"/>
      <c r="MW59" s="12"/>
      <c r="MX59" s="18" t="s">
        <v>481</v>
      </c>
      <c r="MY59" s="12"/>
      <c r="MZ59" s="12"/>
      <c r="NA59" s="12"/>
    </row>
    <row r="60" spans="1:365" x14ac:dyDescent="0.2">
      <c r="A60" s="19" t="s">
        <v>485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</row>
    <row r="61" spans="1:365" x14ac:dyDescent="0.2">
      <c r="A61" s="19" t="s">
        <v>491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</row>
    <row r="62" spans="1:365" x14ac:dyDescent="0.2">
      <c r="A62" s="20" t="s">
        <v>495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</row>
    <row r="63" spans="1:365" x14ac:dyDescent="0.2">
      <c r="A63" s="19" t="s">
        <v>486</v>
      </c>
      <c r="B63" s="19" t="s">
        <v>493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</row>
    <row r="64" spans="1:365" x14ac:dyDescent="0.2">
      <c r="A64" s="20" t="s">
        <v>498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19"/>
    </row>
    <row r="65" spans="1:364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19"/>
    </row>
    <row r="66" spans="1:364" x14ac:dyDescent="0.2">
      <c r="A66" s="19" t="s">
        <v>492</v>
      </c>
      <c r="B66" s="19" t="s">
        <v>494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</row>
    <row r="67" spans="1:364" x14ac:dyDescent="0.2">
      <c r="A67" s="20" t="s">
        <v>499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19"/>
    </row>
    <row r="68" spans="1:364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19"/>
    </row>
    <row r="69" spans="1:364" ht="14.2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</row>
    <row r="70" spans="1:364" ht="14.2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</row>
  </sheetData>
  <mergeCells count="5">
    <mergeCell ref="A6:C6"/>
    <mergeCell ref="A7:C7"/>
    <mergeCell ref="A8:C8"/>
    <mergeCell ref="A9:C9"/>
    <mergeCell ref="A10:C10"/>
  </mergeCells>
  <pageMargins left="0.34" right="0.06" top="0.3" bottom="0.24" header="0.3" footer="0.1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zadargaa</vt:lpstr>
      <vt:lpstr>negtgel-2009</vt:lpstr>
    </vt:vector>
  </TitlesOfParts>
  <Company>MTA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MJL</dc:creator>
  <cp:lastModifiedBy>user</cp:lastModifiedBy>
  <cp:lastPrinted>2010-06-07T06:11:39Z</cp:lastPrinted>
  <dcterms:created xsi:type="dcterms:W3CDTF">2007-06-28T00:58:53Z</dcterms:created>
  <dcterms:modified xsi:type="dcterms:W3CDTF">2014-04-16T09:10:36Z</dcterms:modified>
</cp:coreProperties>
</file>